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Inputs" sheetId="2" state="visible" r:id="rId4"/>
    <sheet name="Add-backs" sheetId="3" state="visible" r:id="rId5"/>
    <sheet name="Recast" sheetId="4" state="visible" r:id="rId6"/>
    <sheet name="Tax returns" sheetId="5" state="visible" r:id="rId7"/>
    <sheet name="Valuation" sheetId="6" state="visible" r:id="rId8"/>
    <sheet name="Check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" authorId="0">
      <text>
        <r>
          <rPr>
            <sz val="10"/>
            <rFont val="Arial"/>
            <family val="2"/>
          </rPr>
          <t xml:space="preserve">Value printed in the CIM and teaser, generated from the same deal file.</t>
        </r>
      </text>
    </comment>
    <comment ref="C7" authorId="0">
      <text>
        <r>
          <rPr>
            <sz val="10"/>
            <rFont val="Arial"/>
            <family val="2"/>
          </rPr>
          <t xml:space="preserve">Value printed in the CIM and teaser, generated from the same deal file.</t>
        </r>
      </text>
    </comment>
    <comment ref="C8" authorId="0">
      <text>
        <r>
          <rPr>
            <sz val="10"/>
            <rFont val="Arial"/>
            <family val="2"/>
          </rPr>
          <t xml:space="preserve">Value printed in the CIM and teaser, generated from the same deal file.</t>
        </r>
      </text>
    </comment>
    <comment ref="C9" authorId="0">
      <text>
        <r>
          <rPr>
            <sz val="10"/>
            <rFont val="Arial"/>
            <family val="2"/>
          </rPr>
          <t xml:space="preserve">Value printed in the CIM and teaser, generated from the same deal file.</t>
        </r>
      </text>
    </comment>
    <comment ref="C10" authorId="0">
      <text>
        <r>
          <rPr>
            <sz val="10"/>
            <rFont val="Arial"/>
            <family val="2"/>
          </rPr>
          <t xml:space="preserve">Value printed in the CIM and teaser, generated from the same deal file.</t>
        </r>
      </text>
    </comment>
    <comment ref="C11" authorId="0">
      <text>
        <r>
          <rPr>
            <sz val="10"/>
            <rFont val="Arial"/>
            <family val="2"/>
          </rPr>
          <t xml:space="preserve">Value printed in the CIM and teaser, generated from the same deal file.</t>
        </r>
      </text>
    </comment>
  </commentList>
</comments>
</file>

<file path=xl/sharedStrings.xml><?xml version="1.0" encoding="utf-8"?>
<sst xmlns="http://schemas.openxmlformats.org/spreadsheetml/2006/main" count="240" uniqueCount="177">
  <si>
    <t xml:space="preserve">Project Keystone</t>
  </si>
  <si>
    <t xml:space="preserve">Recast workbook: add-backs, SDE and bankability</t>
  </si>
  <si>
    <t xml:space="preserve">Prepared by Alder &amp; Finch Business Advisors  |  September 2026  |  $ in thousands</t>
  </si>
  <si>
    <t xml:space="preserve">Illustrative sample prepared on fictitious data</t>
  </si>
  <si>
    <t xml:space="preserve">Legend</t>
  </si>
  <si>
    <t xml:space="preserve">1,234</t>
  </si>
  <si>
    <t xml:space="preserve">Input: from tax returns, statements or stated assumptions. Edit only these cells.</t>
  </si>
  <si>
    <t xml:space="preserve">Formula: calculated in this workbook. Do not overwrite.</t>
  </si>
  <si>
    <t xml:space="preserve">Link: pulled from another sheet of this workbook.</t>
  </si>
  <si>
    <t xml:space="preserve">Key metric row.</t>
  </si>
  <si>
    <t xml:space="preserve">Sheets</t>
  </si>
  <si>
    <t xml:space="preserve">Inputs</t>
  </si>
  <si>
    <t xml:space="preserve">Historical income statement, owner salary at market, asking price, financing mix and debt terms.</t>
  </si>
  <si>
    <t xml:space="preserve">Add-backs</t>
  </si>
  <si>
    <t xml:space="preserve">Each add-back by year with its supporting document, status and the broker's decision (Approved, Changed or Removed).</t>
  </si>
  <si>
    <t xml:space="preserve">Recast</t>
  </si>
  <si>
    <t xml:space="preserve">Reported EBITDA to adjusted EBITDA and SDE, with margins, growth and CAGR.</t>
  </si>
  <si>
    <t xml:space="preserve">Tax returns</t>
  </si>
  <si>
    <t xml:space="preserve">Revenue and income tied to the federal returns, the same figures a buyer's SBA lender verifies with the IRS.</t>
  </si>
  <si>
    <t xml:space="preserve">Valuation</t>
  </si>
  <si>
    <t xml:space="preserve">Implied multiples, financing at the asking price, debt service coverage and price sensitivity.</t>
  </si>
  <si>
    <t xml:space="preserve">Checks</t>
  </si>
  <si>
    <t xml:space="preserve">Integrity checks and tie-out to every figure printed in the CIM and teaser.</t>
  </si>
  <si>
    <t xml:space="preserve">Check status</t>
  </si>
  <si>
    <t xml:space="preserve">Inputs ($ in thousands)</t>
  </si>
  <si>
    <t xml:space="preserve">Blue cells are inputs. Source: Company federal tax returns (FY2023 to FY2025) and internal financial statements (TTM).</t>
  </si>
  <si>
    <t xml:space="preserve">Income statement</t>
  </si>
  <si>
    <t xml:space="preserve">FY2023A</t>
  </si>
  <si>
    <t xml:space="preserve">FY2024A</t>
  </si>
  <si>
    <t xml:space="preserve">FY2025A</t>
  </si>
  <si>
    <t xml:space="preserve">TTM Jun-26</t>
  </si>
  <si>
    <t xml:space="preserve">Source / note</t>
  </si>
  <si>
    <t xml:space="preserve">Revenue</t>
  </si>
  <si>
    <t xml:space="preserve">Tax returns and internal statements</t>
  </si>
  <si>
    <t xml:space="preserve">Cost of revenue</t>
  </si>
  <si>
    <t xml:space="preserve">Materials, field labor and subcontractors</t>
  </si>
  <si>
    <t xml:space="preserve">Operating expenses</t>
  </si>
  <si>
    <t xml:space="preserve">Owner compensation</t>
  </si>
  <si>
    <t xml:space="preserve">Salaries and wages, office and management</t>
  </si>
  <si>
    <t xml:space="preserve">Rent</t>
  </si>
  <si>
    <t xml:space="preserve">Vehicles and fuel</t>
  </si>
  <si>
    <t xml:space="preserve">Insurance</t>
  </si>
  <si>
    <t xml:space="preserve">Marketing</t>
  </si>
  <si>
    <t xml:space="preserve">Professional fees</t>
  </si>
  <si>
    <t xml:space="preserve">Other general and administrative</t>
  </si>
  <si>
    <t xml:space="preserve">Depreciation and amortization</t>
  </si>
  <si>
    <t xml:space="preserve">Interest expense</t>
  </si>
  <si>
    <t xml:space="preserve">Owner-operator salary at market (per year)</t>
  </si>
  <si>
    <t xml:space="preserve">Cost of a replacement general manager; basis for SDE</t>
  </si>
  <si>
    <t xml:space="preserve">Transaction</t>
  </si>
  <si>
    <t xml:space="preserve">Value</t>
  </si>
  <si>
    <t xml:space="preserve">Asking price</t>
  </si>
  <si>
    <t xml:space="preserve">Owner and broker</t>
  </si>
  <si>
    <t xml:space="preserve">SBA 7(a) loan, share of price</t>
  </si>
  <si>
    <t xml:space="preserve">Seller note, share of price</t>
  </si>
  <si>
    <t xml:space="preserve">Buyer equity, share of price</t>
  </si>
  <si>
    <t xml:space="preserve">Debt terms (illustrative; replace with lender quote)</t>
  </si>
  <si>
    <t xml:space="preserve">SBA loan interest rate</t>
  </si>
  <si>
    <t xml:space="preserve">Illustrative. Replace with a current lender quote.</t>
  </si>
  <si>
    <t xml:space="preserve">SBA loan term</t>
  </si>
  <si>
    <t xml:space="preserve">Seller note interest rate</t>
  </si>
  <si>
    <t xml:space="preserve">Illustrative. Subject to negotiation with the seller.</t>
  </si>
  <si>
    <t xml:space="preserve">Seller note term</t>
  </si>
  <si>
    <t xml:space="preserve">Maintenance capital expenditure (per year)</t>
  </si>
  <si>
    <t xml:space="preserve">About three service vehicles a year at roughly $55K each, plus tools and equipment.</t>
  </si>
  <si>
    <t xml:space="preserve">Lender comfort level, debt service coverage</t>
  </si>
  <si>
    <t xml:space="preserve">Many SBA lenders require 1.25x or more on acquisitions; confirm with the lender.</t>
  </si>
  <si>
    <t xml:space="preserve">Add-backs and broker approval ($ in thousands)</t>
  </si>
  <si>
    <t xml:space="preserve">Positive values add to reported EBITDA. Documented = supported by records; Estimated = third-party opinion or owner estimate. Set Broker decision to Removed and the add-back drops out of every total.</t>
  </si>
  <si>
    <t xml:space="preserve">Add-back</t>
  </si>
  <si>
    <t xml:space="preserve">Category</t>
  </si>
  <si>
    <t xml:space="preserve">Support</t>
  </si>
  <si>
    <t xml:space="preserve">Status</t>
  </si>
  <si>
    <t xml:space="preserve">Broker decision</t>
  </si>
  <si>
    <t xml:space="preserve">Approved by</t>
  </si>
  <si>
    <t xml:space="preserve">Date</t>
  </si>
  <si>
    <t xml:space="preserve">Counts</t>
  </si>
  <si>
    <t xml:space="preserve">Owner compensation above market</t>
  </si>
  <si>
    <t xml:space="preserve">Owner</t>
  </si>
  <si>
    <t xml:space="preserve">Payroll records; replacement general manager at $150K per year, fully loaded (salary, payroll taxes, benefits)</t>
  </si>
  <si>
    <t xml:space="preserve">Estimated</t>
  </si>
  <si>
    <t xml:space="preserve">Approved</t>
  </si>
  <si>
    <t xml:space="preserve">Broker, by email</t>
  </si>
  <si>
    <t xml:space="preserve">2026-09-24</t>
  </si>
  <si>
    <t xml:space="preserve">Family member payroll, non-operating role</t>
  </si>
  <si>
    <t xml:space="preserve">Payroll records; role not required after closing</t>
  </si>
  <si>
    <t xml:space="preserve">Documented</t>
  </si>
  <si>
    <t xml:space="preserve">Rent above market, related-party lease</t>
  </si>
  <si>
    <t xml:space="preserve">Normalization</t>
  </si>
  <si>
    <t xml:space="preserve">Lease agreement; market rent per local broker opinion</t>
  </si>
  <si>
    <t xml:space="preserve">Personal expenses paid by the business</t>
  </si>
  <si>
    <t xml:space="preserve">General ledger detail: vehicle, travel, insurance</t>
  </si>
  <si>
    <t xml:space="preserve">One-time legal settlement</t>
  </si>
  <si>
    <t xml:space="preserve">Non-recurring</t>
  </si>
  <si>
    <t xml:space="preserve">Settlement agreement; no similar claims since</t>
  </si>
  <si>
    <t xml:space="preserve">Total add-backs counted</t>
  </si>
  <si>
    <t xml:space="preserve">Add-backs still waiting for the broker's decision</t>
  </si>
  <si>
    <t xml:space="preserve">Recast income statement ($ in thousands)</t>
  </si>
  <si>
    <t xml:space="preserve">Green = linked from Inputs and Adjustments; black = calculated. Costs shown as negatives.</t>
  </si>
  <si>
    <t xml:space="preserve">% growth</t>
  </si>
  <si>
    <t xml:space="preserve">Gross profit</t>
  </si>
  <si>
    <t xml:space="preserve">% margin</t>
  </si>
  <si>
    <t xml:space="preserve">Total operating expenses</t>
  </si>
  <si>
    <t xml:space="preserve">Reported EBITDA</t>
  </si>
  <si>
    <t xml:space="preserve">Add-backs (counted)</t>
  </si>
  <si>
    <t xml:space="preserve">Total add-backs</t>
  </si>
  <si>
    <t xml:space="preserve">Adjusted EBITDA</t>
  </si>
  <si>
    <t xml:space="preserve">Owner salary at market (one owner-operator)</t>
  </si>
  <si>
    <t xml:space="preserve">Seller's discretionary earnings (SDE)</t>
  </si>
  <si>
    <t xml:space="preserve">Memo: below EBITDA</t>
  </si>
  <si>
    <t xml:space="preserve">Pre-tax income</t>
  </si>
  <si>
    <t xml:space="preserve">Revenue CAGR, FY2023A to FY2025A</t>
  </si>
  <si>
    <t xml:space="preserve">Adjusted EBITDA CAGR, FY2023A to FY2025A</t>
  </si>
  <si>
    <t xml:space="preserve">Tie-out to the federal tax returns ($ in thousands)</t>
  </si>
  <si>
    <t xml:space="preserve">Buyers' SBA lenders verify the seller's returns against IRS transcripts. Differences need an explanation before closing.</t>
  </si>
  <si>
    <t xml:space="preserve">Explanation of differences</t>
  </si>
  <si>
    <t xml:space="preserve">Gross receipts per return (Form 1120-S, Line 1a, gross receipts or sales)</t>
  </si>
  <si>
    <t xml:space="preserve">Revenue per recast</t>
  </si>
  <si>
    <t xml:space="preserve">Difference</t>
  </si>
  <si>
    <t xml:space="preserve">Ordinary business income per return (Line 21, ordinary business income)</t>
  </si>
  <si>
    <t xml:space="preserve">Pre-tax income per recast</t>
  </si>
  <si>
    <t xml:space="preserve">Sample figures. On a real deal, enter the filed return and compare it with the IRS transcript the buyer's lender will pull.</t>
  </si>
  <si>
    <t xml:space="preserve">Asking price, multiples and bankability ($ in thousands)</t>
  </si>
  <si>
    <t xml:space="preserve">Illustrative. Financing terms depend on lender approval; not a commitment.</t>
  </si>
  <si>
    <t xml:space="preserve">Asking price and implied multiples</t>
  </si>
  <si>
    <t xml:space="preserve">SDE, TTM Jun-26</t>
  </si>
  <si>
    <t xml:space="preserve">Adjusted EBITDA, TTM Jun-26</t>
  </si>
  <si>
    <t xml:space="preserve">SDE, FY2025A</t>
  </si>
  <si>
    <t xml:space="preserve">Adjusted EBITDA, FY2025A</t>
  </si>
  <si>
    <t xml:space="preserve">Price / SDE, TTM Jun-26</t>
  </si>
  <si>
    <t xml:space="preserve">Price / adjusted EBITDA, TTM Jun-26</t>
  </si>
  <si>
    <t xml:space="preserve">Price / SDE, FY2025A</t>
  </si>
  <si>
    <t xml:space="preserve">Price / adjusted EBITDA, FY2025A</t>
  </si>
  <si>
    <t xml:space="preserve">Financing at asking price</t>
  </si>
  <si>
    <t xml:space="preserve">Amount</t>
  </si>
  <si>
    <t xml:space="preserve">% of price</t>
  </si>
  <si>
    <t xml:space="preserve">SBA 7(a) loan</t>
  </si>
  <si>
    <t xml:space="preserve">Seller note</t>
  </si>
  <si>
    <t xml:space="preserve">Buyer equity</t>
  </si>
  <si>
    <t xml:space="preserve">Total sources</t>
  </si>
  <si>
    <t xml:space="preserve">Debt service and coverage</t>
  </si>
  <si>
    <t xml:space="preserve">Annual</t>
  </si>
  <si>
    <t xml:space="preserve">SBA loan debt service</t>
  </si>
  <si>
    <t xml:space="preserve">Seller note debt service</t>
  </si>
  <si>
    <t xml:space="preserve">Total debt service</t>
  </si>
  <si>
    <t xml:space="preserve">Adjusted EBITDA, TTM Jun-26 </t>
  </si>
  <si>
    <t xml:space="preserve">Less: maintenance capital expenditure</t>
  </si>
  <si>
    <t xml:space="preserve">Cash flow available for debt service</t>
  </si>
  <si>
    <t xml:space="preserve">Debt service coverage ratio</t>
  </si>
  <si>
    <t xml:space="preserve">Lender comfort level</t>
  </si>
  <si>
    <t xml:space="preserve">Assessment</t>
  </si>
  <si>
    <t xml:space="preserve">Price sensitivity</t>
  </si>
  <si>
    <t xml:space="preserve">Multiple of SDE</t>
  </si>
  <si>
    <t xml:space="preserve">Implied price</t>
  </si>
  <si>
    <t xml:space="preserve">Multiple of adj. EBITDA</t>
  </si>
  <si>
    <t xml:space="preserve">Debt service</t>
  </si>
  <si>
    <t xml:space="preserve">Coverage</t>
  </si>
  <si>
    <t xml:space="preserve">Based on TTM Jun-26 SDE and the financing mix above</t>
  </si>
  <si>
    <t xml:space="preserve">Integrity checks and CIM tie-out</t>
  </si>
  <si>
    <t xml:space="preserve">Every check should read OK before a document is released.</t>
  </si>
  <si>
    <t xml:space="preserve">Check</t>
  </si>
  <si>
    <t xml:space="preserve">Workbook</t>
  </si>
  <si>
    <t xml:space="preserve">Expected</t>
  </si>
  <si>
    <t xml:space="preserve">Revenue, TTM Jun-26 (as printed in CIM)</t>
  </si>
  <si>
    <t xml:space="preserve">Reported EBITDA, TTM Jun-26 (as printed in CIM)</t>
  </si>
  <si>
    <t xml:space="preserve">Adjusted EBITDA, TTM Jun-26 (as printed in CIM)</t>
  </si>
  <si>
    <t xml:space="preserve">SDE, TTM Jun-26 (as printed in CIM)</t>
  </si>
  <si>
    <t xml:space="preserve">Revenue CAGR (as printed in CIM)</t>
  </si>
  <si>
    <t xml:space="preserve">Price / SDE, TTM Jun-26 (as printed in CIM)</t>
  </si>
  <si>
    <t xml:space="preserve">Adjusted EBITDA = reported EBITDA + counted add-backs, all periods</t>
  </si>
  <si>
    <t xml:space="preserve">Every add-back has the broker's decision</t>
  </si>
  <si>
    <t xml:space="preserve">Pre-tax income ties to reported EBITDA less D&amp;A and interest, all periods</t>
  </si>
  <si>
    <t xml:space="preserve">Revenue ties to gross receipts on the returns, all tax years</t>
  </si>
  <si>
    <t xml:space="preserve">Pre-tax income ties to ordinary business income on the returns, all tax years</t>
  </si>
  <si>
    <t xml:space="preserve">Financing shares sum to 100%</t>
  </si>
  <si>
    <t xml:space="preserve">Sources equal asking price</t>
  </si>
  <si>
    <t xml:space="preserve">Overall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</si>
</sst>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);\(#,##0\);\–_)"/>
    <numFmt numFmtId="166" formatCode="0.0%_);\(0.0%\);\–_)"/>
    <numFmt numFmtId="167" formatCode="0&quot; yrs&quot;_)"/>
    <numFmt numFmtId="168" formatCode="0.00\x_)"/>
    <numFmt numFmtId="169" formatCode="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233C"/>
      <name val="Arial"/>
      <family val="0"/>
      <charset val="1"/>
    </font>
    <font>
      <sz val="12"/>
      <color rgb="FF000000"/>
      <name val="Arial"/>
      <family val="0"/>
      <charset val="1"/>
    </font>
    <font>
      <sz val="9"/>
      <color rgb="FF5F6670"/>
      <name val="Arial"/>
      <family val="0"/>
      <charset val="1"/>
    </font>
    <font>
      <i val="true"/>
      <sz val="9"/>
      <color rgb="FF5F667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u val="single"/>
      <sz val="11"/>
      <color rgb="FF14233C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4"/>
      <color rgb="FF14233C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10"/>
      <color rgb="FF5F667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0F5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hair">
        <color rgb="FFC8CDD4"/>
      </bottom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6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F0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DD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67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3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Keystone_alder-finch_Recast.xlsx" TargetMode="External"/><Relationship Id="rId2" Type="http://schemas.openxmlformats.org/officeDocument/2006/relationships/hyperlink" Target="Keystone_alder-finch_Recast.xlsx" TargetMode="External"/><Relationship Id="rId3" Type="http://schemas.openxmlformats.org/officeDocument/2006/relationships/hyperlink" Target="Keystone_alder-finch_Recast.xlsx" TargetMode="External"/><Relationship Id="rId4" Type="http://schemas.openxmlformats.org/officeDocument/2006/relationships/hyperlink" Target="Keystone_alder-finch_Recast.xlsx" TargetMode="External"/><Relationship Id="rId5" Type="http://schemas.openxmlformats.org/officeDocument/2006/relationships/hyperlink" Target="Keystone_alder-finch_Recast.xlsx" TargetMode="External"/><Relationship Id="rId6" Type="http://schemas.openxmlformats.org/officeDocument/2006/relationships/hyperlink" Target="Keystone_alder-finch_Recast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8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7" customFormat="false" ht="15" hidden="false" customHeight="false" outlineLevel="0" collapsed="false">
      <c r="B7" s="5" t="s">
        <v>4</v>
      </c>
      <c r="C7" s="6"/>
    </row>
    <row r="8" customFormat="false" ht="15" hidden="false" customHeight="false" outlineLevel="0" collapsed="false">
      <c r="B8" s="7" t="s">
        <v>5</v>
      </c>
      <c r="C8" s="8" t="s">
        <v>6</v>
      </c>
    </row>
    <row r="9" customFormat="false" ht="15" hidden="false" customHeight="false" outlineLevel="0" collapsed="false">
      <c r="B9" s="9" t="s">
        <v>5</v>
      </c>
      <c r="C9" s="8" t="s">
        <v>7</v>
      </c>
    </row>
    <row r="10" customFormat="false" ht="15" hidden="false" customHeight="false" outlineLevel="0" collapsed="false">
      <c r="B10" s="10" t="s">
        <v>5</v>
      </c>
      <c r="C10" s="8" t="s">
        <v>8</v>
      </c>
    </row>
    <row r="11" customFormat="false" ht="15" hidden="false" customHeight="false" outlineLevel="0" collapsed="false">
      <c r="B11" s="11" t="s">
        <v>5</v>
      </c>
      <c r="C11" s="8" t="s">
        <v>9</v>
      </c>
    </row>
    <row r="13" customFormat="false" ht="15" hidden="false" customHeight="false" outlineLevel="0" collapsed="false">
      <c r="B13" s="5" t="s">
        <v>10</v>
      </c>
      <c r="C13" s="6"/>
    </row>
    <row r="14" customFormat="false" ht="15" hidden="false" customHeight="false" outlineLevel="0" collapsed="false">
      <c r="B14" s="12" t="s">
        <v>11</v>
      </c>
      <c r="C14" s="8" t="s">
        <v>12</v>
      </c>
    </row>
    <row r="15" customFormat="false" ht="15" hidden="false" customHeight="false" outlineLevel="0" collapsed="false">
      <c r="B15" s="12" t="s">
        <v>13</v>
      </c>
      <c r="C15" s="8" t="s">
        <v>14</v>
      </c>
    </row>
    <row r="16" customFormat="false" ht="15" hidden="false" customHeight="false" outlineLevel="0" collapsed="false">
      <c r="B16" s="12" t="s">
        <v>15</v>
      </c>
      <c r="C16" s="8" t="s">
        <v>16</v>
      </c>
    </row>
    <row r="17" customFormat="false" ht="15" hidden="false" customHeight="false" outlineLevel="0" collapsed="false">
      <c r="B17" s="12" t="s">
        <v>17</v>
      </c>
      <c r="C17" s="8" t="s">
        <v>18</v>
      </c>
    </row>
    <row r="18" customFormat="false" ht="15" hidden="false" customHeight="false" outlineLevel="0" collapsed="false">
      <c r="B18" s="12" t="s">
        <v>19</v>
      </c>
      <c r="C18" s="8" t="s">
        <v>20</v>
      </c>
    </row>
    <row r="19" customFormat="false" ht="15" hidden="false" customHeight="false" outlineLevel="0" collapsed="false">
      <c r="B19" s="12" t="s">
        <v>21</v>
      </c>
      <c r="C19" s="8" t="s">
        <v>22</v>
      </c>
    </row>
    <row r="21" customFormat="false" ht="15" hidden="false" customHeight="false" outlineLevel="0" collapsed="false">
      <c r="B21" s="13" t="s">
        <v>23</v>
      </c>
      <c r="C21" s="14" t="str">
        <f aca="false">Checks!E20</f>
        <v>ALL OK</v>
      </c>
    </row>
  </sheetData>
  <hyperlinks>
    <hyperlink ref="B14" r:id="rId1" location="'Inputs'!A1" display="Inputs"/>
    <hyperlink ref="B15" r:id="rId2" location="'Add-backs'!A1" display="Add-backs"/>
    <hyperlink ref="B16" r:id="rId3" location="'Recast'!A1" display="Recast"/>
    <hyperlink ref="B17" r:id="rId4" location="'Tax%20returns'!A1" display="Tax returns"/>
    <hyperlink ref="B18" r:id="rId5" location="'Valuation'!A1" display="Valuation"/>
    <hyperlink ref="B19" r:id="rId6" location="'Checks'!A1" display="Check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3"/>
    <col collapsed="false" customWidth="true" hidden="false" outlineLevel="0" max="6" min="6" style="0" width="58"/>
  </cols>
  <sheetData>
    <row r="1" customFormat="false" ht="17.35" hidden="false" customHeight="false" outlineLevel="0" collapsed="false">
      <c r="A1" s="15" t="s">
        <v>0</v>
      </c>
    </row>
    <row r="2" customFormat="false" ht="15" hidden="false" customHeight="false" outlineLevel="0" collapsed="false">
      <c r="A2" s="16" t="s">
        <v>24</v>
      </c>
    </row>
    <row r="3" customFormat="false" ht="15" hidden="false" customHeight="false" outlineLevel="0" collapsed="false">
      <c r="A3" s="4" t="s">
        <v>25</v>
      </c>
    </row>
    <row r="5" customFormat="false" ht="15" hidden="false" customHeight="false" outlineLevel="0" collapsed="false">
      <c r="A5" s="17" t="s">
        <v>26</v>
      </c>
      <c r="B5" s="18" t="s">
        <v>27</v>
      </c>
      <c r="C5" s="18" t="s">
        <v>28</v>
      </c>
      <c r="D5" s="18" t="s">
        <v>29</v>
      </c>
      <c r="E5" s="18" t="s">
        <v>30</v>
      </c>
      <c r="F5" s="18" t="s">
        <v>31</v>
      </c>
    </row>
    <row r="6" customFormat="false" ht="15" hidden="false" customHeight="false" outlineLevel="0" collapsed="false">
      <c r="A6" s="8" t="s">
        <v>32</v>
      </c>
      <c r="B6" s="19" t="n">
        <v>4215</v>
      </c>
      <c r="C6" s="19" t="n">
        <v>4690</v>
      </c>
      <c r="D6" s="19" t="n">
        <v>5140</v>
      </c>
      <c r="E6" s="19" t="n">
        <v>5365</v>
      </c>
      <c r="F6" s="3" t="s">
        <v>33</v>
      </c>
    </row>
    <row r="7" customFormat="false" ht="15" hidden="false" customHeight="false" outlineLevel="0" collapsed="false">
      <c r="A7" s="8" t="s">
        <v>34</v>
      </c>
      <c r="B7" s="19" t="n">
        <v>2453</v>
      </c>
      <c r="C7" s="19" t="n">
        <v>2701</v>
      </c>
      <c r="D7" s="19" t="n">
        <v>2925</v>
      </c>
      <c r="E7" s="19" t="n">
        <v>3042</v>
      </c>
      <c r="F7" s="3" t="s">
        <v>35</v>
      </c>
    </row>
    <row r="8" customFormat="false" ht="15" hidden="false" customHeight="false" outlineLevel="0" collapsed="false">
      <c r="F8" s="3"/>
    </row>
    <row r="9" customFormat="false" ht="15" hidden="false" customHeight="false" outlineLevel="0" collapsed="false">
      <c r="A9" s="20" t="s">
        <v>36</v>
      </c>
      <c r="F9" s="3"/>
    </row>
    <row r="10" customFormat="false" ht="15" hidden="false" customHeight="false" outlineLevel="0" collapsed="false">
      <c r="A10" s="21" t="s">
        <v>37</v>
      </c>
      <c r="B10" s="19" t="n">
        <v>285</v>
      </c>
      <c r="C10" s="19" t="n">
        <v>300</v>
      </c>
      <c r="D10" s="19" t="n">
        <v>320</v>
      </c>
      <c r="E10" s="19" t="n">
        <v>320</v>
      </c>
      <c r="F10" s="3"/>
    </row>
    <row r="11" customFormat="false" ht="15" hidden="false" customHeight="false" outlineLevel="0" collapsed="false">
      <c r="A11" s="21" t="s">
        <v>38</v>
      </c>
      <c r="B11" s="19" t="n">
        <v>590</v>
      </c>
      <c r="C11" s="19" t="n">
        <v>640</v>
      </c>
      <c r="D11" s="19" t="n">
        <v>690</v>
      </c>
      <c r="E11" s="19" t="n">
        <v>712</v>
      </c>
      <c r="F11" s="3"/>
    </row>
    <row r="12" customFormat="false" ht="15" hidden="false" customHeight="false" outlineLevel="0" collapsed="false">
      <c r="A12" s="21" t="s">
        <v>39</v>
      </c>
      <c r="B12" s="19" t="n">
        <v>168</v>
      </c>
      <c r="C12" s="19" t="n">
        <v>168</v>
      </c>
      <c r="D12" s="19" t="n">
        <v>174</v>
      </c>
      <c r="E12" s="19" t="n">
        <v>174</v>
      </c>
      <c r="F12" s="3"/>
    </row>
    <row r="13" customFormat="false" ht="15" hidden="false" customHeight="false" outlineLevel="0" collapsed="false">
      <c r="A13" s="21" t="s">
        <v>40</v>
      </c>
      <c r="B13" s="19" t="n">
        <v>205</v>
      </c>
      <c r="C13" s="19" t="n">
        <v>221</v>
      </c>
      <c r="D13" s="19" t="n">
        <v>236</v>
      </c>
      <c r="E13" s="19" t="n">
        <v>243</v>
      </c>
      <c r="F13" s="3"/>
    </row>
    <row r="14" customFormat="false" ht="15" hidden="false" customHeight="false" outlineLevel="0" collapsed="false">
      <c r="A14" s="21" t="s">
        <v>41</v>
      </c>
      <c r="B14" s="19" t="n">
        <v>94</v>
      </c>
      <c r="C14" s="19" t="n">
        <v>101</v>
      </c>
      <c r="D14" s="19" t="n">
        <v>109</v>
      </c>
      <c r="E14" s="19" t="n">
        <v>112</v>
      </c>
      <c r="F14" s="3"/>
    </row>
    <row r="15" customFormat="false" ht="15" hidden="false" customHeight="false" outlineLevel="0" collapsed="false">
      <c r="A15" s="21" t="s">
        <v>42</v>
      </c>
      <c r="B15" s="19" t="n">
        <v>36</v>
      </c>
      <c r="C15" s="19" t="n">
        <v>40</v>
      </c>
      <c r="D15" s="19" t="n">
        <v>44</v>
      </c>
      <c r="E15" s="19" t="n">
        <v>45</v>
      </c>
      <c r="F15" s="3"/>
    </row>
    <row r="16" customFormat="false" ht="15" hidden="false" customHeight="false" outlineLevel="0" collapsed="false">
      <c r="A16" s="21" t="s">
        <v>43</v>
      </c>
      <c r="B16" s="19" t="n">
        <v>40</v>
      </c>
      <c r="C16" s="19" t="n">
        <v>92</v>
      </c>
      <c r="D16" s="19" t="n">
        <v>49</v>
      </c>
      <c r="E16" s="19" t="n">
        <v>50</v>
      </c>
      <c r="F16" s="3"/>
    </row>
    <row r="17" customFormat="false" ht="15" hidden="false" customHeight="false" outlineLevel="0" collapsed="false">
      <c r="A17" s="21" t="s">
        <v>44</v>
      </c>
      <c r="B17" s="19" t="n">
        <v>112</v>
      </c>
      <c r="C17" s="19" t="n">
        <v>121</v>
      </c>
      <c r="D17" s="19" t="n">
        <v>128</v>
      </c>
      <c r="E17" s="19" t="n">
        <v>131</v>
      </c>
      <c r="F17" s="3"/>
    </row>
    <row r="18" customFormat="false" ht="15" hidden="false" customHeight="false" outlineLevel="0" collapsed="false">
      <c r="F18" s="3"/>
    </row>
    <row r="19" customFormat="false" ht="15" hidden="false" customHeight="false" outlineLevel="0" collapsed="false">
      <c r="A19" s="8" t="s">
        <v>45</v>
      </c>
      <c r="B19" s="19" t="n">
        <v>88</v>
      </c>
      <c r="C19" s="19" t="n">
        <v>94</v>
      </c>
      <c r="D19" s="19" t="n">
        <v>101</v>
      </c>
      <c r="E19" s="19" t="n">
        <v>104</v>
      </c>
      <c r="F19" s="3"/>
    </row>
    <row r="20" customFormat="false" ht="15" hidden="false" customHeight="false" outlineLevel="0" collapsed="false">
      <c r="A20" s="8" t="s">
        <v>46</v>
      </c>
      <c r="B20" s="19" t="n">
        <v>31</v>
      </c>
      <c r="C20" s="19" t="n">
        <v>27</v>
      </c>
      <c r="D20" s="19" t="n">
        <v>22</v>
      </c>
      <c r="E20" s="19" t="n">
        <v>20</v>
      </c>
      <c r="F20" s="3"/>
    </row>
    <row r="21" customFormat="false" ht="15" hidden="false" customHeight="false" outlineLevel="0" collapsed="false">
      <c r="F21" s="3"/>
    </row>
    <row r="22" customFormat="false" ht="15" hidden="false" customHeight="false" outlineLevel="0" collapsed="false">
      <c r="A22" s="8" t="s">
        <v>47</v>
      </c>
      <c r="B22" s="19" t="n">
        <v>150</v>
      </c>
      <c r="F22" s="3" t="s">
        <v>48</v>
      </c>
    </row>
    <row r="23" customFormat="false" ht="15" hidden="false" customHeight="false" outlineLevel="0" collapsed="false">
      <c r="F23" s="3"/>
    </row>
    <row r="24" customFormat="false" ht="15" hidden="false" customHeight="false" outlineLevel="0" collapsed="false">
      <c r="A24" s="17" t="s">
        <v>49</v>
      </c>
      <c r="B24" s="18" t="s">
        <v>50</v>
      </c>
      <c r="F24" s="3"/>
    </row>
    <row r="25" customFormat="false" ht="15" hidden="false" customHeight="false" outlineLevel="0" collapsed="false">
      <c r="A25" s="8" t="s">
        <v>51</v>
      </c>
      <c r="B25" s="19" t="n">
        <v>3250</v>
      </c>
      <c r="F25" s="3" t="s">
        <v>52</v>
      </c>
    </row>
    <row r="26" customFormat="false" ht="15" hidden="false" customHeight="false" outlineLevel="0" collapsed="false">
      <c r="A26" s="8" t="s">
        <v>53</v>
      </c>
      <c r="B26" s="22" t="n">
        <v>0.8</v>
      </c>
      <c r="F26" s="3"/>
    </row>
    <row r="27" customFormat="false" ht="15" hidden="false" customHeight="false" outlineLevel="0" collapsed="false">
      <c r="A27" s="8" t="s">
        <v>54</v>
      </c>
      <c r="B27" s="22" t="n">
        <v>0.1</v>
      </c>
      <c r="F27" s="3"/>
    </row>
    <row r="28" customFormat="false" ht="15" hidden="false" customHeight="false" outlineLevel="0" collapsed="false">
      <c r="A28" s="8" t="s">
        <v>55</v>
      </c>
      <c r="B28" s="22" t="n">
        <v>0.1</v>
      </c>
      <c r="F28" s="3"/>
    </row>
    <row r="29" customFormat="false" ht="15" hidden="false" customHeight="false" outlineLevel="0" collapsed="false">
      <c r="F29" s="3"/>
    </row>
    <row r="30" customFormat="false" ht="15" hidden="false" customHeight="false" outlineLevel="0" collapsed="false">
      <c r="A30" s="17" t="s">
        <v>56</v>
      </c>
      <c r="B30" s="18" t="s">
        <v>50</v>
      </c>
      <c r="F30" s="3"/>
    </row>
    <row r="31" customFormat="false" ht="15" hidden="false" customHeight="false" outlineLevel="0" collapsed="false">
      <c r="A31" s="8" t="s">
        <v>57</v>
      </c>
      <c r="B31" s="22" t="n">
        <v>0.1</v>
      </c>
      <c r="F31" s="3" t="s">
        <v>58</v>
      </c>
    </row>
    <row r="32" customFormat="false" ht="15" hidden="false" customHeight="false" outlineLevel="0" collapsed="false">
      <c r="A32" s="8" t="s">
        <v>59</v>
      </c>
      <c r="B32" s="23" t="n">
        <v>10</v>
      </c>
      <c r="F32" s="3"/>
    </row>
    <row r="33" customFormat="false" ht="15" hidden="false" customHeight="false" outlineLevel="0" collapsed="false">
      <c r="A33" s="8" t="s">
        <v>60</v>
      </c>
      <c r="B33" s="22" t="n">
        <v>0.06</v>
      </c>
      <c r="F33" s="3" t="s">
        <v>61</v>
      </c>
    </row>
    <row r="34" customFormat="false" ht="15" hidden="false" customHeight="false" outlineLevel="0" collapsed="false">
      <c r="A34" s="8" t="s">
        <v>62</v>
      </c>
      <c r="B34" s="23" t="n">
        <v>5</v>
      </c>
      <c r="F34" s="3"/>
    </row>
    <row r="35" customFormat="false" ht="15" hidden="false" customHeight="false" outlineLevel="0" collapsed="false">
      <c r="A35" s="8" t="s">
        <v>63</v>
      </c>
      <c r="B35" s="19" t="n">
        <v>180</v>
      </c>
      <c r="F35" s="3" t="s">
        <v>64</v>
      </c>
    </row>
    <row r="36" customFormat="false" ht="15" hidden="false" customHeight="false" outlineLevel="0" collapsed="false">
      <c r="A36" s="8" t="s">
        <v>65</v>
      </c>
      <c r="B36" s="24" t="n">
        <v>1.25</v>
      </c>
      <c r="F36" s="3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2"/>
    <col collapsed="false" customWidth="true" hidden="false" outlineLevel="0" max="6" min="6" style="0" width="14"/>
    <col collapsed="false" customWidth="true" hidden="false" outlineLevel="0" max="7" min="7" style="0" width="52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18"/>
    <col collapsed="false" customWidth="true" hidden="false" outlineLevel="0" max="11" min="11" style="0" width="12"/>
    <col collapsed="false" customWidth="true" hidden="false" outlineLevel="0" max="12" min="12" style="0" width="9"/>
  </cols>
  <sheetData>
    <row r="1" customFormat="false" ht="17.35" hidden="false" customHeight="false" outlineLevel="0" collapsed="false">
      <c r="A1" s="15" t="s">
        <v>0</v>
      </c>
    </row>
    <row r="2" customFormat="false" ht="15" hidden="false" customHeight="false" outlineLevel="0" collapsed="false">
      <c r="A2" s="16" t="s">
        <v>67</v>
      </c>
    </row>
    <row r="3" customFormat="false" ht="15" hidden="false" customHeight="false" outlineLevel="0" collapsed="false">
      <c r="A3" s="4" t="s">
        <v>68</v>
      </c>
    </row>
    <row r="5" customFormat="false" ht="15" hidden="false" customHeight="false" outlineLevel="0" collapsed="false">
      <c r="A5" s="17" t="s">
        <v>69</v>
      </c>
      <c r="B5" s="18" t="s">
        <v>27</v>
      </c>
      <c r="C5" s="18" t="s">
        <v>28</v>
      </c>
      <c r="D5" s="18" t="s">
        <v>29</v>
      </c>
      <c r="E5" s="18" t="s">
        <v>30</v>
      </c>
      <c r="F5" s="18" t="s">
        <v>70</v>
      </c>
      <c r="G5" s="18" t="s">
        <v>71</v>
      </c>
      <c r="H5" s="18" t="s">
        <v>72</v>
      </c>
      <c r="I5" s="18" t="s">
        <v>73</v>
      </c>
      <c r="J5" s="18" t="s">
        <v>74</v>
      </c>
      <c r="K5" s="18" t="s">
        <v>75</v>
      </c>
      <c r="L5" s="18" t="s">
        <v>76</v>
      </c>
    </row>
    <row r="6" customFormat="false" ht="15" hidden="false" customHeight="false" outlineLevel="0" collapsed="false">
      <c r="A6" s="25" t="s">
        <v>77</v>
      </c>
      <c r="B6" s="26" t="n">
        <v>135</v>
      </c>
      <c r="C6" s="26" t="n">
        <v>150</v>
      </c>
      <c r="D6" s="26" t="n">
        <v>170</v>
      </c>
      <c r="E6" s="26" t="n">
        <v>170</v>
      </c>
      <c r="F6" s="27" t="s">
        <v>78</v>
      </c>
      <c r="G6" s="27" t="s">
        <v>79</v>
      </c>
      <c r="H6" s="27" t="s">
        <v>80</v>
      </c>
      <c r="I6" s="28" t="s">
        <v>81</v>
      </c>
      <c r="J6" s="28" t="s">
        <v>82</v>
      </c>
      <c r="K6" s="28" t="s">
        <v>83</v>
      </c>
      <c r="L6" s="29" t="n">
        <f aca="false">IF(I6="Removed",0,1)</f>
        <v>1</v>
      </c>
    </row>
    <row r="7" customFormat="false" ht="15" hidden="false" customHeight="false" outlineLevel="0" collapsed="false">
      <c r="A7" s="25" t="s">
        <v>84</v>
      </c>
      <c r="B7" s="26" t="n">
        <v>48</v>
      </c>
      <c r="C7" s="26" t="n">
        <v>50</v>
      </c>
      <c r="D7" s="26" t="n">
        <v>52</v>
      </c>
      <c r="E7" s="26" t="n">
        <v>52</v>
      </c>
      <c r="F7" s="27" t="s">
        <v>78</v>
      </c>
      <c r="G7" s="27" t="s">
        <v>85</v>
      </c>
      <c r="H7" s="27" t="s">
        <v>86</v>
      </c>
      <c r="I7" s="28" t="s">
        <v>81</v>
      </c>
      <c r="J7" s="28" t="s">
        <v>82</v>
      </c>
      <c r="K7" s="28" t="s">
        <v>83</v>
      </c>
      <c r="L7" s="29" t="n">
        <f aca="false">IF(I7="Removed",0,1)</f>
        <v>1</v>
      </c>
    </row>
    <row r="8" customFormat="false" ht="15" hidden="false" customHeight="false" outlineLevel="0" collapsed="false">
      <c r="A8" s="25" t="s">
        <v>87</v>
      </c>
      <c r="B8" s="26" t="n">
        <v>24</v>
      </c>
      <c r="C8" s="26" t="n">
        <v>24</v>
      </c>
      <c r="D8" s="26" t="n">
        <v>24</v>
      </c>
      <c r="E8" s="26" t="n">
        <v>24</v>
      </c>
      <c r="F8" s="27" t="s">
        <v>88</v>
      </c>
      <c r="G8" s="27" t="s">
        <v>89</v>
      </c>
      <c r="H8" s="27" t="s">
        <v>80</v>
      </c>
      <c r="I8" s="28" t="s">
        <v>81</v>
      </c>
      <c r="J8" s="28" t="s">
        <v>82</v>
      </c>
      <c r="K8" s="28" t="s">
        <v>83</v>
      </c>
      <c r="L8" s="29" t="n">
        <f aca="false">IF(I8="Removed",0,1)</f>
        <v>1</v>
      </c>
    </row>
    <row r="9" customFormat="false" ht="15" hidden="false" customHeight="false" outlineLevel="0" collapsed="false">
      <c r="A9" s="25" t="s">
        <v>90</v>
      </c>
      <c r="B9" s="26" t="n">
        <v>29</v>
      </c>
      <c r="C9" s="26" t="n">
        <v>31</v>
      </c>
      <c r="D9" s="26" t="n">
        <v>33</v>
      </c>
      <c r="E9" s="26" t="n">
        <v>33</v>
      </c>
      <c r="F9" s="27" t="s">
        <v>78</v>
      </c>
      <c r="G9" s="27" t="s">
        <v>91</v>
      </c>
      <c r="H9" s="27" t="s">
        <v>86</v>
      </c>
      <c r="I9" s="28" t="s">
        <v>81</v>
      </c>
      <c r="J9" s="28" t="s">
        <v>82</v>
      </c>
      <c r="K9" s="28" t="s">
        <v>83</v>
      </c>
      <c r="L9" s="29" t="n">
        <f aca="false">IF(I9="Removed",0,1)</f>
        <v>1</v>
      </c>
    </row>
    <row r="10" customFormat="false" ht="15" hidden="false" customHeight="false" outlineLevel="0" collapsed="false">
      <c r="A10" s="25" t="s">
        <v>92</v>
      </c>
      <c r="B10" s="26" t="n">
        <v>0</v>
      </c>
      <c r="C10" s="26" t="n">
        <v>46</v>
      </c>
      <c r="D10" s="26" t="n">
        <v>0</v>
      </c>
      <c r="E10" s="26" t="n">
        <v>0</v>
      </c>
      <c r="F10" s="27" t="s">
        <v>93</v>
      </c>
      <c r="G10" s="27" t="s">
        <v>94</v>
      </c>
      <c r="H10" s="27" t="s">
        <v>86</v>
      </c>
      <c r="I10" s="28" t="s">
        <v>81</v>
      </c>
      <c r="J10" s="28" t="s">
        <v>82</v>
      </c>
      <c r="K10" s="28" t="s">
        <v>83</v>
      </c>
      <c r="L10" s="29" t="n">
        <f aca="false">IF(I10="Removed",0,1)</f>
        <v>1</v>
      </c>
    </row>
    <row r="11" customFormat="false" ht="15" hidden="false" customHeight="false" outlineLevel="0" collapsed="false">
      <c r="A11" s="30" t="s">
        <v>95</v>
      </c>
      <c r="B11" s="31" t="n">
        <f aca="false">SUMPRODUCT(B6:B10,$L$6:$L$10)</f>
        <v>236</v>
      </c>
      <c r="C11" s="31" t="n">
        <f aca="false">SUMPRODUCT(C6:C10,$L$6:$L$10)</f>
        <v>301</v>
      </c>
      <c r="D11" s="31" t="n">
        <f aca="false">SUMPRODUCT(D6:D10,$L$6:$L$10)</f>
        <v>279</v>
      </c>
      <c r="E11" s="31" t="n">
        <f aca="false">SUMPRODUCT(E6:E10,$L$6:$L$10)</f>
        <v>279</v>
      </c>
    </row>
    <row r="13" customFormat="false" ht="15" hidden="false" customHeight="false" outlineLevel="0" collapsed="false">
      <c r="A13" s="8" t="s">
        <v>96</v>
      </c>
      <c r="B13" s="32" t="n">
        <f aca="false">COUNTIF(I6:I10,"Proposed")</f>
        <v>0</v>
      </c>
    </row>
  </sheetData>
  <dataValidations count="1">
    <dataValidation allowBlank="false" error="Choose Proposed, Approved, Changed or Removed." errorStyle="stop" operator="between" showDropDown="false" showErrorMessage="false" showInputMessage="false" sqref="I6:I10" type="list">
      <formula1>"Proposed,Approved,Changed,Removed"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3"/>
  </cols>
  <sheetData>
    <row r="1" customFormat="false" ht="17.35" hidden="false" customHeight="false" outlineLevel="0" collapsed="false">
      <c r="A1" s="15" t="s">
        <v>0</v>
      </c>
    </row>
    <row r="2" customFormat="false" ht="15" hidden="false" customHeight="false" outlineLevel="0" collapsed="false">
      <c r="A2" s="16" t="s">
        <v>97</v>
      </c>
    </row>
    <row r="3" customFormat="false" ht="15" hidden="false" customHeight="false" outlineLevel="0" collapsed="false">
      <c r="A3" s="4" t="s">
        <v>98</v>
      </c>
    </row>
    <row r="5" customFormat="false" ht="15" hidden="false" customHeight="false" outlineLevel="0" collapsed="false">
      <c r="A5" s="17"/>
      <c r="B5" s="18" t="s">
        <v>27</v>
      </c>
      <c r="C5" s="18" t="s">
        <v>28</v>
      </c>
      <c r="D5" s="18" t="s">
        <v>29</v>
      </c>
      <c r="E5" s="18" t="s">
        <v>30</v>
      </c>
    </row>
    <row r="6" customFormat="false" ht="15" hidden="false" customHeight="false" outlineLevel="0" collapsed="false">
      <c r="A6" s="8" t="s">
        <v>32</v>
      </c>
      <c r="B6" s="33" t="n">
        <f aca="false">Inputs!B6</f>
        <v>4215</v>
      </c>
      <c r="C6" s="33" t="n">
        <f aca="false">Inputs!C6</f>
        <v>4690</v>
      </c>
      <c r="D6" s="33" t="n">
        <f aca="false">Inputs!D6</f>
        <v>5140</v>
      </c>
      <c r="E6" s="33" t="n">
        <f aca="false">Inputs!E6</f>
        <v>5365</v>
      </c>
    </row>
    <row r="7" customFormat="false" ht="15" hidden="false" customHeight="false" outlineLevel="0" collapsed="false">
      <c r="A7" s="34" t="s">
        <v>99</v>
      </c>
      <c r="C7" s="35" t="n">
        <f aca="false">C6/B6-1</f>
        <v>0.112692763938316</v>
      </c>
      <c r="D7" s="35" t="n">
        <f aca="false">D6/C6-1</f>
        <v>0.095948827292111</v>
      </c>
    </row>
    <row r="8" customFormat="false" ht="15" hidden="false" customHeight="false" outlineLevel="0" collapsed="false">
      <c r="A8" s="8" t="s">
        <v>34</v>
      </c>
      <c r="B8" s="33" t="n">
        <f aca="false">-Inputs!B7</f>
        <v>-2453</v>
      </c>
      <c r="C8" s="33" t="n">
        <f aca="false">-Inputs!C7</f>
        <v>-2701</v>
      </c>
      <c r="D8" s="33" t="n">
        <f aca="false">-Inputs!D7</f>
        <v>-2925</v>
      </c>
      <c r="E8" s="33" t="n">
        <f aca="false">-Inputs!E7</f>
        <v>-3042</v>
      </c>
    </row>
    <row r="9" customFormat="false" ht="15" hidden="false" customHeight="false" outlineLevel="0" collapsed="false">
      <c r="A9" s="30" t="s">
        <v>100</v>
      </c>
      <c r="B9" s="31" t="n">
        <f aca="false">B6+B8</f>
        <v>1762</v>
      </c>
      <c r="C9" s="31" t="n">
        <f aca="false">C6+C8</f>
        <v>1989</v>
      </c>
      <c r="D9" s="31" t="n">
        <f aca="false">D6+D8</f>
        <v>2215</v>
      </c>
      <c r="E9" s="31" t="n">
        <f aca="false">E6+E8</f>
        <v>2323</v>
      </c>
    </row>
    <row r="10" customFormat="false" ht="15" hidden="false" customHeight="false" outlineLevel="0" collapsed="false">
      <c r="A10" s="34" t="s">
        <v>101</v>
      </c>
      <c r="B10" s="35" t="n">
        <f aca="false">IF(B6=0,0,B9/B6)</f>
        <v>0.418030842230131</v>
      </c>
      <c r="C10" s="35" t="n">
        <f aca="false">IF(C6=0,0,C9/C6)</f>
        <v>0.42409381663113</v>
      </c>
      <c r="D10" s="35" t="n">
        <f aca="false">IF(D6=0,0,D9/D6)</f>
        <v>0.430933852140078</v>
      </c>
      <c r="E10" s="35" t="n">
        <f aca="false">IF(E6=0,0,E9/E6)</f>
        <v>0.432991612301957</v>
      </c>
    </row>
    <row r="12" customFormat="false" ht="15" hidden="false" customHeight="false" outlineLevel="0" collapsed="false">
      <c r="A12" s="21" t="s">
        <v>37</v>
      </c>
      <c r="B12" s="33" t="n">
        <f aca="false">-Inputs!B10</f>
        <v>-285</v>
      </c>
      <c r="C12" s="33" t="n">
        <f aca="false">-Inputs!C10</f>
        <v>-300</v>
      </c>
      <c r="D12" s="33" t="n">
        <f aca="false">-Inputs!D10</f>
        <v>-320</v>
      </c>
      <c r="E12" s="33" t="n">
        <f aca="false">-Inputs!E10</f>
        <v>-320</v>
      </c>
    </row>
    <row r="13" customFormat="false" ht="15" hidden="false" customHeight="false" outlineLevel="0" collapsed="false">
      <c r="A13" s="21" t="s">
        <v>38</v>
      </c>
      <c r="B13" s="33" t="n">
        <f aca="false">-Inputs!B11</f>
        <v>-590</v>
      </c>
      <c r="C13" s="33" t="n">
        <f aca="false">-Inputs!C11</f>
        <v>-640</v>
      </c>
      <c r="D13" s="33" t="n">
        <f aca="false">-Inputs!D11</f>
        <v>-690</v>
      </c>
      <c r="E13" s="33" t="n">
        <f aca="false">-Inputs!E11</f>
        <v>-712</v>
      </c>
    </row>
    <row r="14" customFormat="false" ht="15" hidden="false" customHeight="false" outlineLevel="0" collapsed="false">
      <c r="A14" s="21" t="s">
        <v>39</v>
      </c>
      <c r="B14" s="33" t="n">
        <f aca="false">-Inputs!B12</f>
        <v>-168</v>
      </c>
      <c r="C14" s="33" t="n">
        <f aca="false">-Inputs!C12</f>
        <v>-168</v>
      </c>
      <c r="D14" s="33" t="n">
        <f aca="false">-Inputs!D12</f>
        <v>-174</v>
      </c>
      <c r="E14" s="33" t="n">
        <f aca="false">-Inputs!E12</f>
        <v>-174</v>
      </c>
    </row>
    <row r="15" customFormat="false" ht="15" hidden="false" customHeight="false" outlineLevel="0" collapsed="false">
      <c r="A15" s="21" t="s">
        <v>40</v>
      </c>
      <c r="B15" s="33" t="n">
        <f aca="false">-Inputs!B13</f>
        <v>-205</v>
      </c>
      <c r="C15" s="33" t="n">
        <f aca="false">-Inputs!C13</f>
        <v>-221</v>
      </c>
      <c r="D15" s="33" t="n">
        <f aca="false">-Inputs!D13</f>
        <v>-236</v>
      </c>
      <c r="E15" s="33" t="n">
        <f aca="false">-Inputs!E13</f>
        <v>-243</v>
      </c>
    </row>
    <row r="16" customFormat="false" ht="15" hidden="false" customHeight="false" outlineLevel="0" collapsed="false">
      <c r="A16" s="21" t="s">
        <v>41</v>
      </c>
      <c r="B16" s="33" t="n">
        <f aca="false">-Inputs!B14</f>
        <v>-94</v>
      </c>
      <c r="C16" s="33" t="n">
        <f aca="false">-Inputs!C14</f>
        <v>-101</v>
      </c>
      <c r="D16" s="33" t="n">
        <f aca="false">-Inputs!D14</f>
        <v>-109</v>
      </c>
      <c r="E16" s="33" t="n">
        <f aca="false">-Inputs!E14</f>
        <v>-112</v>
      </c>
    </row>
    <row r="17" customFormat="false" ht="15" hidden="false" customHeight="false" outlineLevel="0" collapsed="false">
      <c r="A17" s="21" t="s">
        <v>42</v>
      </c>
      <c r="B17" s="33" t="n">
        <f aca="false">-Inputs!B15</f>
        <v>-36</v>
      </c>
      <c r="C17" s="33" t="n">
        <f aca="false">-Inputs!C15</f>
        <v>-40</v>
      </c>
      <c r="D17" s="33" t="n">
        <f aca="false">-Inputs!D15</f>
        <v>-44</v>
      </c>
      <c r="E17" s="33" t="n">
        <f aca="false">-Inputs!E15</f>
        <v>-45</v>
      </c>
    </row>
    <row r="18" customFormat="false" ht="15" hidden="false" customHeight="false" outlineLevel="0" collapsed="false">
      <c r="A18" s="21" t="s">
        <v>43</v>
      </c>
      <c r="B18" s="33" t="n">
        <f aca="false">-Inputs!B16</f>
        <v>-40</v>
      </c>
      <c r="C18" s="33" t="n">
        <f aca="false">-Inputs!C16</f>
        <v>-92</v>
      </c>
      <c r="D18" s="33" t="n">
        <f aca="false">-Inputs!D16</f>
        <v>-49</v>
      </c>
      <c r="E18" s="33" t="n">
        <f aca="false">-Inputs!E16</f>
        <v>-50</v>
      </c>
    </row>
    <row r="19" customFormat="false" ht="15" hidden="false" customHeight="false" outlineLevel="0" collapsed="false">
      <c r="A19" s="21" t="s">
        <v>44</v>
      </c>
      <c r="B19" s="33" t="n">
        <f aca="false">-Inputs!B17</f>
        <v>-112</v>
      </c>
      <c r="C19" s="33" t="n">
        <f aca="false">-Inputs!C17</f>
        <v>-121</v>
      </c>
      <c r="D19" s="33" t="n">
        <f aca="false">-Inputs!D17</f>
        <v>-128</v>
      </c>
      <c r="E19" s="33" t="n">
        <f aca="false">-Inputs!E17</f>
        <v>-131</v>
      </c>
    </row>
    <row r="20" customFormat="false" ht="15" hidden="false" customHeight="false" outlineLevel="0" collapsed="false">
      <c r="A20" s="30" t="s">
        <v>102</v>
      </c>
      <c r="B20" s="31" t="n">
        <f aca="false">SUM(B12:B19)</f>
        <v>-1530</v>
      </c>
      <c r="C20" s="31" t="n">
        <f aca="false">SUM(C12:C19)</f>
        <v>-1683</v>
      </c>
      <c r="D20" s="31" t="n">
        <f aca="false">SUM(D12:D19)</f>
        <v>-1750</v>
      </c>
      <c r="E20" s="31" t="n">
        <f aca="false">SUM(E12:E19)</f>
        <v>-1787</v>
      </c>
    </row>
    <row r="21" customFormat="false" ht="15" hidden="false" customHeight="false" outlineLevel="0" collapsed="false">
      <c r="A21" s="36" t="s">
        <v>103</v>
      </c>
      <c r="B21" s="37" t="n">
        <f aca="false">B9+B20</f>
        <v>232</v>
      </c>
      <c r="C21" s="37" t="n">
        <f aca="false">C9+C20</f>
        <v>306</v>
      </c>
      <c r="D21" s="37" t="n">
        <f aca="false">D9+D20</f>
        <v>465</v>
      </c>
      <c r="E21" s="37" t="n">
        <f aca="false">E9+E20</f>
        <v>536</v>
      </c>
    </row>
    <row r="22" customFormat="false" ht="15" hidden="false" customHeight="false" outlineLevel="0" collapsed="false">
      <c r="A22" s="34" t="s">
        <v>101</v>
      </c>
      <c r="B22" s="35" t="n">
        <f aca="false">IF(B6=0,0,B21/B6)</f>
        <v>0.0550415183867141</v>
      </c>
      <c r="C22" s="35" t="n">
        <f aca="false">IF(C6=0,0,C21/C6)</f>
        <v>0.0652452025586354</v>
      </c>
      <c r="D22" s="35" t="n">
        <f aca="false">IF(D6=0,0,D21/D6)</f>
        <v>0.0904669260700389</v>
      </c>
      <c r="E22" s="35" t="n">
        <f aca="false">IF(E6=0,0,E21/E6)</f>
        <v>0.0999068033550792</v>
      </c>
    </row>
    <row r="24" customFormat="false" ht="15" hidden="false" customHeight="false" outlineLevel="0" collapsed="false">
      <c r="A24" s="20" t="s">
        <v>104</v>
      </c>
    </row>
    <row r="25" customFormat="false" ht="15" hidden="false" customHeight="false" outlineLevel="0" collapsed="false">
      <c r="A25" s="21" t="s">
        <v>77</v>
      </c>
      <c r="B25" s="33" t="n">
        <f aca="false">'Add-backs'!B6*'Add-backs'!$L$6</f>
        <v>135</v>
      </c>
      <c r="C25" s="33" t="n">
        <f aca="false">'Add-backs'!C6*'Add-backs'!$L$6</f>
        <v>150</v>
      </c>
      <c r="D25" s="33" t="n">
        <f aca="false">'Add-backs'!D6*'Add-backs'!$L$6</f>
        <v>170</v>
      </c>
      <c r="E25" s="33" t="n">
        <f aca="false">'Add-backs'!E6*'Add-backs'!$L$6</f>
        <v>170</v>
      </c>
    </row>
    <row r="26" customFormat="false" ht="15" hidden="false" customHeight="false" outlineLevel="0" collapsed="false">
      <c r="A26" s="21" t="s">
        <v>84</v>
      </c>
      <c r="B26" s="33" t="n">
        <f aca="false">'Add-backs'!B7*'Add-backs'!$L$7</f>
        <v>48</v>
      </c>
      <c r="C26" s="33" t="n">
        <f aca="false">'Add-backs'!C7*'Add-backs'!$L$7</f>
        <v>50</v>
      </c>
      <c r="D26" s="33" t="n">
        <f aca="false">'Add-backs'!D7*'Add-backs'!$L$7</f>
        <v>52</v>
      </c>
      <c r="E26" s="33" t="n">
        <f aca="false">'Add-backs'!E7*'Add-backs'!$L$7</f>
        <v>52</v>
      </c>
    </row>
    <row r="27" customFormat="false" ht="15" hidden="false" customHeight="false" outlineLevel="0" collapsed="false">
      <c r="A27" s="21" t="s">
        <v>87</v>
      </c>
      <c r="B27" s="33" t="n">
        <f aca="false">'Add-backs'!B8*'Add-backs'!$L$8</f>
        <v>24</v>
      </c>
      <c r="C27" s="33" t="n">
        <f aca="false">'Add-backs'!C8*'Add-backs'!$L$8</f>
        <v>24</v>
      </c>
      <c r="D27" s="33" t="n">
        <f aca="false">'Add-backs'!D8*'Add-backs'!$L$8</f>
        <v>24</v>
      </c>
      <c r="E27" s="33" t="n">
        <f aca="false">'Add-backs'!E8*'Add-backs'!$L$8</f>
        <v>24</v>
      </c>
    </row>
    <row r="28" customFormat="false" ht="15" hidden="false" customHeight="false" outlineLevel="0" collapsed="false">
      <c r="A28" s="21" t="s">
        <v>90</v>
      </c>
      <c r="B28" s="33" t="n">
        <f aca="false">'Add-backs'!B9*'Add-backs'!$L$9</f>
        <v>29</v>
      </c>
      <c r="C28" s="33" t="n">
        <f aca="false">'Add-backs'!C9*'Add-backs'!$L$9</f>
        <v>31</v>
      </c>
      <c r="D28" s="33" t="n">
        <f aca="false">'Add-backs'!D9*'Add-backs'!$L$9</f>
        <v>33</v>
      </c>
      <c r="E28" s="33" t="n">
        <f aca="false">'Add-backs'!E9*'Add-backs'!$L$9</f>
        <v>33</v>
      </c>
    </row>
    <row r="29" customFormat="false" ht="15" hidden="false" customHeight="false" outlineLevel="0" collapsed="false">
      <c r="A29" s="21" t="s">
        <v>92</v>
      </c>
      <c r="B29" s="33" t="n">
        <f aca="false">'Add-backs'!B10*'Add-backs'!$L$10</f>
        <v>0</v>
      </c>
      <c r="C29" s="33" t="n">
        <f aca="false">'Add-backs'!C10*'Add-backs'!$L$10</f>
        <v>46</v>
      </c>
      <c r="D29" s="33" t="n">
        <f aca="false">'Add-backs'!D10*'Add-backs'!$L$10</f>
        <v>0</v>
      </c>
      <c r="E29" s="33" t="n">
        <f aca="false">'Add-backs'!E10*'Add-backs'!$L$10</f>
        <v>0</v>
      </c>
    </row>
    <row r="30" customFormat="false" ht="15" hidden="false" customHeight="false" outlineLevel="0" collapsed="false">
      <c r="A30" s="30" t="s">
        <v>105</v>
      </c>
      <c r="B30" s="31" t="n">
        <f aca="false">SUM(B25:B29)</f>
        <v>236</v>
      </c>
      <c r="C30" s="31" t="n">
        <f aca="false">SUM(C25:C29)</f>
        <v>301</v>
      </c>
      <c r="D30" s="31" t="n">
        <f aca="false">SUM(D25:D29)</f>
        <v>279</v>
      </c>
      <c r="E30" s="31" t="n">
        <f aca="false">SUM(E25:E29)</f>
        <v>279</v>
      </c>
    </row>
    <row r="31" customFormat="false" ht="15" hidden="false" customHeight="false" outlineLevel="0" collapsed="false">
      <c r="A31" s="36" t="s">
        <v>106</v>
      </c>
      <c r="B31" s="37" t="n">
        <f aca="false">B21+B30</f>
        <v>468</v>
      </c>
      <c r="C31" s="37" t="n">
        <f aca="false">C21+C30</f>
        <v>607</v>
      </c>
      <c r="D31" s="37" t="n">
        <f aca="false">D21+D30</f>
        <v>744</v>
      </c>
      <c r="E31" s="37" t="n">
        <f aca="false">E21+E30</f>
        <v>815</v>
      </c>
    </row>
    <row r="32" customFormat="false" ht="15" hidden="false" customHeight="false" outlineLevel="0" collapsed="false">
      <c r="A32" s="34" t="s">
        <v>101</v>
      </c>
      <c r="B32" s="35" t="n">
        <f aca="false">IF(B6=0,0,B31/B6)</f>
        <v>0.111032028469751</v>
      </c>
      <c r="C32" s="35" t="n">
        <f aca="false">IF(C6=0,0,C31/C6)</f>
        <v>0.129424307036247</v>
      </c>
      <c r="D32" s="35" t="n">
        <f aca="false">IF(D6=0,0,D31/D6)</f>
        <v>0.144747081712062</v>
      </c>
      <c r="E32" s="35" t="n">
        <f aca="false">IF(E6=0,0,E31/E6)</f>
        <v>0.151910531220876</v>
      </c>
    </row>
    <row r="33" customFormat="false" ht="15" hidden="false" customHeight="false" outlineLevel="0" collapsed="false">
      <c r="A33" s="8" t="s">
        <v>107</v>
      </c>
      <c r="B33" s="33" t="n">
        <f aca="false">Inputs!$B$22</f>
        <v>150</v>
      </c>
      <c r="C33" s="33" t="n">
        <f aca="false">Inputs!$B$22</f>
        <v>150</v>
      </c>
      <c r="D33" s="33" t="n">
        <f aca="false">Inputs!$B$22</f>
        <v>150</v>
      </c>
      <c r="E33" s="33" t="n">
        <f aca="false">Inputs!$B$22</f>
        <v>150</v>
      </c>
    </row>
    <row r="34" customFormat="false" ht="15" hidden="false" customHeight="false" outlineLevel="0" collapsed="false">
      <c r="A34" s="36" t="s">
        <v>108</v>
      </c>
      <c r="B34" s="37" t="n">
        <f aca="false">B31+B33</f>
        <v>618</v>
      </c>
      <c r="C34" s="37" t="n">
        <f aca="false">C31+C33</f>
        <v>757</v>
      </c>
      <c r="D34" s="37" t="n">
        <f aca="false">D31+D33</f>
        <v>894</v>
      </c>
      <c r="E34" s="37" t="n">
        <f aca="false">E31+E33</f>
        <v>965</v>
      </c>
    </row>
    <row r="35" customFormat="false" ht="15" hidden="false" customHeight="false" outlineLevel="0" collapsed="false">
      <c r="A35" s="34" t="s">
        <v>101</v>
      </c>
      <c r="B35" s="35" t="n">
        <f aca="false">IF(B6=0,0,B34/B6)</f>
        <v>0.146619217081851</v>
      </c>
      <c r="C35" s="35" t="n">
        <f aca="false">IF(C6=0,0,C34/C6)</f>
        <v>0.161407249466951</v>
      </c>
      <c r="D35" s="35" t="n">
        <f aca="false">IF(D6=0,0,D34/D6)</f>
        <v>0.173929961089494</v>
      </c>
      <c r="E35" s="35" t="n">
        <f aca="false">IF(E6=0,0,E34/E6)</f>
        <v>0.179869524697111</v>
      </c>
    </row>
    <row r="37" customFormat="false" ht="15" hidden="false" customHeight="false" outlineLevel="0" collapsed="false">
      <c r="A37" s="20" t="s">
        <v>109</v>
      </c>
    </row>
    <row r="38" customFormat="false" ht="15" hidden="false" customHeight="false" outlineLevel="0" collapsed="false">
      <c r="A38" s="21" t="s">
        <v>45</v>
      </c>
      <c r="B38" s="33" t="n">
        <f aca="false">-Inputs!B19</f>
        <v>-88</v>
      </c>
      <c r="C38" s="33" t="n">
        <f aca="false">-Inputs!C19</f>
        <v>-94</v>
      </c>
      <c r="D38" s="33" t="n">
        <f aca="false">-Inputs!D19</f>
        <v>-101</v>
      </c>
      <c r="E38" s="33" t="n">
        <f aca="false">-Inputs!E19</f>
        <v>-104</v>
      </c>
    </row>
    <row r="39" customFormat="false" ht="15" hidden="false" customHeight="false" outlineLevel="0" collapsed="false">
      <c r="A39" s="21" t="s">
        <v>46</v>
      </c>
      <c r="B39" s="33" t="n">
        <f aca="false">-Inputs!B20</f>
        <v>-31</v>
      </c>
      <c r="C39" s="33" t="n">
        <f aca="false">-Inputs!C20</f>
        <v>-27</v>
      </c>
      <c r="D39" s="33" t="n">
        <f aca="false">-Inputs!D20</f>
        <v>-22</v>
      </c>
      <c r="E39" s="33" t="n">
        <f aca="false">-Inputs!E20</f>
        <v>-20</v>
      </c>
    </row>
    <row r="40" customFormat="false" ht="15" hidden="false" customHeight="false" outlineLevel="0" collapsed="false">
      <c r="A40" s="30" t="s">
        <v>110</v>
      </c>
      <c r="B40" s="31" t="n">
        <f aca="false">B21+B38+B39</f>
        <v>113</v>
      </c>
      <c r="C40" s="31" t="n">
        <f aca="false">C21+C38+C39</f>
        <v>185</v>
      </c>
      <c r="D40" s="31" t="n">
        <f aca="false">D21+D38+D39</f>
        <v>342</v>
      </c>
      <c r="E40" s="31" t="n">
        <f aca="false">E21+E38+E39</f>
        <v>412</v>
      </c>
    </row>
    <row r="42" customFormat="false" ht="15" hidden="false" customHeight="false" outlineLevel="0" collapsed="false">
      <c r="A42" s="8" t="s">
        <v>111</v>
      </c>
      <c r="B42" s="38" t="n">
        <f aca="false">(D6/B6)^(1/2)-1</f>
        <v>0.104289060787353</v>
      </c>
    </row>
    <row r="43" customFormat="false" ht="15" hidden="false" customHeight="false" outlineLevel="0" collapsed="false">
      <c r="A43" s="8" t="s">
        <v>112</v>
      </c>
      <c r="B43" s="38" t="n">
        <f aca="false">(D31/B31)^(1/2)-1</f>
        <v>0.260850343912231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3"/>
    <col collapsed="false" customWidth="true" hidden="false" outlineLevel="0" max="5" min="5" style="0" width="60"/>
  </cols>
  <sheetData>
    <row r="1" customFormat="false" ht="17.35" hidden="false" customHeight="false" outlineLevel="0" collapsed="false">
      <c r="A1" s="15" t="s">
        <v>0</v>
      </c>
    </row>
    <row r="2" customFormat="false" ht="15" hidden="false" customHeight="false" outlineLevel="0" collapsed="false">
      <c r="A2" s="16" t="s">
        <v>113</v>
      </c>
    </row>
    <row r="3" customFormat="false" ht="15" hidden="false" customHeight="false" outlineLevel="0" collapsed="false">
      <c r="A3" s="4" t="s">
        <v>114</v>
      </c>
    </row>
    <row r="5" customFormat="false" ht="15" hidden="false" customHeight="false" outlineLevel="0" collapsed="false">
      <c r="A5" s="17"/>
      <c r="B5" s="18" t="s">
        <v>27</v>
      </c>
      <c r="C5" s="18" t="s">
        <v>28</v>
      </c>
      <c r="D5" s="18" t="s">
        <v>29</v>
      </c>
      <c r="E5" s="18" t="s">
        <v>115</v>
      </c>
    </row>
    <row r="6" customFormat="false" ht="15" hidden="false" customHeight="false" outlineLevel="0" collapsed="false">
      <c r="A6" s="8" t="s">
        <v>116</v>
      </c>
      <c r="B6" s="19" t="n">
        <v>4215</v>
      </c>
      <c r="C6" s="19" t="n">
        <v>4690</v>
      </c>
      <c r="D6" s="19" t="n">
        <v>5140</v>
      </c>
    </row>
    <row r="7" customFormat="false" ht="15" hidden="false" customHeight="false" outlineLevel="0" collapsed="false">
      <c r="A7" s="8" t="s">
        <v>117</v>
      </c>
      <c r="B7" s="33" t="n">
        <f aca="false">Recast!B6</f>
        <v>4215</v>
      </c>
      <c r="C7" s="33" t="n">
        <f aca="false">Recast!C6</f>
        <v>4690</v>
      </c>
      <c r="D7" s="33" t="n">
        <f aca="false">Recast!D6</f>
        <v>5140</v>
      </c>
    </row>
    <row r="8" customFormat="false" ht="15" hidden="false" customHeight="false" outlineLevel="0" collapsed="false">
      <c r="A8" s="30" t="s">
        <v>118</v>
      </c>
      <c r="B8" s="31" t="n">
        <f aca="false">B6-B7</f>
        <v>0</v>
      </c>
      <c r="C8" s="31" t="n">
        <f aca="false">C6-C7</f>
        <v>0</v>
      </c>
      <c r="D8" s="31" t="n">
        <f aca="false">D6-D7</f>
        <v>0</v>
      </c>
      <c r="E8" s="7"/>
    </row>
    <row r="10" customFormat="false" ht="15" hidden="false" customHeight="false" outlineLevel="0" collapsed="false">
      <c r="A10" s="8" t="s">
        <v>119</v>
      </c>
      <c r="B10" s="19" t="n">
        <v>113</v>
      </c>
      <c r="C10" s="19" t="n">
        <v>185</v>
      </c>
      <c r="D10" s="19" t="n">
        <v>342</v>
      </c>
    </row>
    <row r="11" customFormat="false" ht="15" hidden="false" customHeight="false" outlineLevel="0" collapsed="false">
      <c r="A11" s="8" t="s">
        <v>120</v>
      </c>
      <c r="B11" s="33" t="n">
        <f aca="false">Recast!B40</f>
        <v>113</v>
      </c>
      <c r="C11" s="33" t="n">
        <f aca="false">Recast!C40</f>
        <v>185</v>
      </c>
      <c r="D11" s="33" t="n">
        <f aca="false">Recast!D40</f>
        <v>342</v>
      </c>
    </row>
    <row r="12" customFormat="false" ht="15" hidden="false" customHeight="false" outlineLevel="0" collapsed="false">
      <c r="A12" s="30" t="s">
        <v>118</v>
      </c>
      <c r="B12" s="31" t="n">
        <f aca="false">B10-B11</f>
        <v>0</v>
      </c>
      <c r="C12" s="31" t="n">
        <f aca="false">C10-C11</f>
        <v>0</v>
      </c>
      <c r="D12" s="31" t="n">
        <f aca="false">D10-D11</f>
        <v>0</v>
      </c>
      <c r="E12" s="7"/>
    </row>
    <row r="14" customFormat="false" ht="15" hidden="false" customHeight="false" outlineLevel="0" collapsed="false">
      <c r="A14" s="4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3" min="2" style="0" width="16"/>
    <col collapsed="false" customWidth="true" hidden="false" outlineLevel="0" max="4" min="4" style="0" width="25"/>
    <col collapsed="false" customWidth="true" hidden="false" outlineLevel="0" max="5" min="5" style="0" width="16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5" t="s">
        <v>0</v>
      </c>
    </row>
    <row r="2" customFormat="false" ht="15" hidden="false" customHeight="false" outlineLevel="0" collapsed="false">
      <c r="A2" s="16" t="s">
        <v>122</v>
      </c>
    </row>
    <row r="3" customFormat="false" ht="15" hidden="false" customHeight="false" outlineLevel="0" collapsed="false">
      <c r="A3" s="4" t="s">
        <v>123</v>
      </c>
    </row>
    <row r="5" customFormat="false" ht="15" hidden="false" customHeight="false" outlineLevel="0" collapsed="false">
      <c r="A5" s="17" t="s">
        <v>124</v>
      </c>
      <c r="B5" s="18" t="s">
        <v>50</v>
      </c>
    </row>
    <row r="6" customFormat="false" ht="15" hidden="false" customHeight="false" outlineLevel="0" collapsed="false">
      <c r="A6" s="8" t="s">
        <v>51</v>
      </c>
      <c r="B6" s="33" t="n">
        <f aca="false">Inputs!B25</f>
        <v>3250</v>
      </c>
    </row>
    <row r="7" customFormat="false" ht="15" hidden="false" customHeight="false" outlineLevel="0" collapsed="false">
      <c r="A7" s="8" t="s">
        <v>125</v>
      </c>
      <c r="B7" s="33" t="n">
        <f aca="false">Recast!E34</f>
        <v>965</v>
      </c>
    </row>
    <row r="8" customFormat="false" ht="15" hidden="false" customHeight="false" outlineLevel="0" collapsed="false">
      <c r="A8" s="8" t="s">
        <v>126</v>
      </c>
      <c r="B8" s="33" t="n">
        <f aca="false">Recast!E31</f>
        <v>815</v>
      </c>
    </row>
    <row r="9" customFormat="false" ht="15" hidden="false" customHeight="false" outlineLevel="0" collapsed="false">
      <c r="A9" s="8" t="s">
        <v>127</v>
      </c>
      <c r="B9" s="33" t="n">
        <f aca="false">Recast!D34</f>
        <v>894</v>
      </c>
    </row>
    <row r="10" customFormat="false" ht="15" hidden="false" customHeight="false" outlineLevel="0" collapsed="false">
      <c r="A10" s="8" t="s">
        <v>128</v>
      </c>
      <c r="B10" s="33" t="n">
        <f aca="false">Recast!D31</f>
        <v>744</v>
      </c>
    </row>
    <row r="11" customFormat="false" ht="15" hidden="false" customHeight="false" outlineLevel="0" collapsed="false">
      <c r="A11" s="36" t="s">
        <v>129</v>
      </c>
      <c r="B11" s="39" t="n">
        <f aca="false">B6/B7</f>
        <v>3.36787564766839</v>
      </c>
    </row>
    <row r="12" customFormat="false" ht="15" hidden="false" customHeight="false" outlineLevel="0" collapsed="false">
      <c r="A12" s="8" t="s">
        <v>130</v>
      </c>
      <c r="B12" s="40" t="n">
        <f aca="false">B6/B8</f>
        <v>3.98773006134969</v>
      </c>
    </row>
    <row r="13" customFormat="false" ht="15" hidden="false" customHeight="false" outlineLevel="0" collapsed="false">
      <c r="A13" s="8" t="s">
        <v>131</v>
      </c>
      <c r="B13" s="40" t="n">
        <f aca="false">B6/B9</f>
        <v>3.63534675615213</v>
      </c>
    </row>
    <row r="14" customFormat="false" ht="15" hidden="false" customHeight="false" outlineLevel="0" collapsed="false">
      <c r="A14" s="8" t="s">
        <v>132</v>
      </c>
      <c r="B14" s="40" t="n">
        <f aca="false">B6/B10</f>
        <v>4.36827956989247</v>
      </c>
    </row>
    <row r="16" customFormat="false" ht="15" hidden="false" customHeight="false" outlineLevel="0" collapsed="false">
      <c r="A16" s="17" t="s">
        <v>133</v>
      </c>
      <c r="B16" s="18" t="s">
        <v>134</v>
      </c>
      <c r="C16" s="18" t="s">
        <v>135</v>
      </c>
    </row>
    <row r="17" customFormat="false" ht="15" hidden="false" customHeight="false" outlineLevel="0" collapsed="false">
      <c r="A17" s="8" t="s">
        <v>136</v>
      </c>
      <c r="B17" s="41" t="n">
        <f aca="false">$B$6*C17</f>
        <v>2600</v>
      </c>
      <c r="C17" s="42" t="n">
        <f aca="false">Inputs!B26</f>
        <v>0.8</v>
      </c>
    </row>
    <row r="18" customFormat="false" ht="15" hidden="false" customHeight="false" outlineLevel="0" collapsed="false">
      <c r="A18" s="8" t="s">
        <v>137</v>
      </c>
      <c r="B18" s="41" t="n">
        <f aca="false">$B$6*C18</f>
        <v>325</v>
      </c>
      <c r="C18" s="42" t="n">
        <f aca="false">Inputs!B27</f>
        <v>0.1</v>
      </c>
    </row>
    <row r="19" customFormat="false" ht="15" hidden="false" customHeight="false" outlineLevel="0" collapsed="false">
      <c r="A19" s="8" t="s">
        <v>138</v>
      </c>
      <c r="B19" s="41" t="n">
        <f aca="false">$B$6*C19</f>
        <v>325</v>
      </c>
      <c r="C19" s="42" t="n">
        <f aca="false">Inputs!B28</f>
        <v>0.1</v>
      </c>
    </row>
    <row r="20" customFormat="false" ht="15" hidden="false" customHeight="false" outlineLevel="0" collapsed="false">
      <c r="A20" s="30" t="s">
        <v>139</v>
      </c>
      <c r="B20" s="31" t="n">
        <f aca="false">SUM(B17:B19)</f>
        <v>3250</v>
      </c>
      <c r="C20" s="43" t="n">
        <f aca="false">SUM(C17:C19)</f>
        <v>1</v>
      </c>
    </row>
    <row r="22" customFormat="false" ht="15" hidden="false" customHeight="false" outlineLevel="0" collapsed="false">
      <c r="A22" s="17" t="s">
        <v>140</v>
      </c>
      <c r="B22" s="18" t="s">
        <v>141</v>
      </c>
    </row>
    <row r="23" customFormat="false" ht="15" hidden="false" customHeight="false" outlineLevel="0" collapsed="false">
      <c r="A23" s="8" t="s">
        <v>142</v>
      </c>
      <c r="B23" s="41" t="n">
        <f aca="false">-PMT(Inputs!B31/12,Inputs!B32*12,B17)*12</f>
        <v>412.310299071096</v>
      </c>
    </row>
    <row r="24" customFormat="false" ht="15" hidden="false" customHeight="false" outlineLevel="0" collapsed="false">
      <c r="A24" s="8" t="s">
        <v>143</v>
      </c>
      <c r="B24" s="41" t="n">
        <f aca="false">-PMT(Inputs!B33/12,Inputs!B34*12,B18)*12</f>
        <v>75.3979259647689</v>
      </c>
    </row>
    <row r="25" customFormat="false" ht="15" hidden="false" customHeight="false" outlineLevel="0" collapsed="false">
      <c r="A25" s="30" t="s">
        <v>144</v>
      </c>
      <c r="B25" s="31" t="n">
        <f aca="false">B23+B24</f>
        <v>487.708225035865</v>
      </c>
    </row>
    <row r="26" customFormat="false" ht="15" hidden="false" customHeight="false" outlineLevel="0" collapsed="false">
      <c r="A26" s="8" t="s">
        <v>145</v>
      </c>
      <c r="B26" s="41" t="n">
        <f aca="false">B8</f>
        <v>815</v>
      </c>
    </row>
    <row r="27" customFormat="false" ht="15" hidden="false" customHeight="false" outlineLevel="0" collapsed="false">
      <c r="A27" s="8" t="s">
        <v>146</v>
      </c>
      <c r="B27" s="33" t="n">
        <f aca="false">-Inputs!B35</f>
        <v>-180</v>
      </c>
    </row>
    <row r="28" customFormat="false" ht="15" hidden="false" customHeight="false" outlineLevel="0" collapsed="false">
      <c r="A28" s="30" t="s">
        <v>147</v>
      </c>
      <c r="B28" s="31" t="n">
        <f aca="false">B26+B27</f>
        <v>635</v>
      </c>
    </row>
    <row r="29" customFormat="false" ht="15" hidden="false" customHeight="false" outlineLevel="0" collapsed="false">
      <c r="A29" s="36" t="s">
        <v>148</v>
      </c>
      <c r="B29" s="39" t="n">
        <f aca="false">IF(B25=0,0,B28/B25)</f>
        <v>1.30200797813755</v>
      </c>
    </row>
    <row r="30" customFormat="false" ht="15" hidden="false" customHeight="false" outlineLevel="0" collapsed="false">
      <c r="A30" s="8" t="s">
        <v>149</v>
      </c>
      <c r="B30" s="44" t="n">
        <f aca="false">Inputs!B36</f>
        <v>1.25</v>
      </c>
    </row>
    <row r="31" customFormat="false" ht="15" hidden="false" customHeight="false" outlineLevel="0" collapsed="false">
      <c r="A31" s="8" t="s">
        <v>150</v>
      </c>
      <c r="B31" s="45" t="str">
        <f aca="false">IF(B29&gt;=B30,"Above comfort level","Below comfort level")</f>
        <v>Above comfort level</v>
      </c>
    </row>
    <row r="33" customFormat="false" ht="15" hidden="false" customHeight="false" outlineLevel="0" collapsed="false">
      <c r="A33" s="17" t="s">
        <v>151</v>
      </c>
      <c r="B33" s="18" t="s">
        <v>152</v>
      </c>
      <c r="C33" s="18" t="s">
        <v>153</v>
      </c>
      <c r="D33" s="18" t="s">
        <v>154</v>
      </c>
      <c r="E33" s="18" t="s">
        <v>155</v>
      </c>
      <c r="F33" s="18" t="s">
        <v>156</v>
      </c>
    </row>
    <row r="34" customFormat="false" ht="15" hidden="false" customHeight="false" outlineLevel="0" collapsed="false">
      <c r="A34" s="46" t="s">
        <v>157</v>
      </c>
      <c r="B34" s="47" t="n">
        <v>2.5</v>
      </c>
      <c r="C34" s="48" t="n">
        <f aca="false">B34*$B$7</f>
        <v>2412.5</v>
      </c>
      <c r="D34" s="49" t="n">
        <f aca="false">C34/$B$8</f>
        <v>2.9601226993865</v>
      </c>
      <c r="E34" s="48" t="n">
        <f aca="false">-PMT(Inputs!$B$31/12,Inputs!$B$32*12,C34*Inputs!$B$26)*12-PMT(Inputs!$B$33/12,Inputs!$B$34*12,C34*Inputs!$B$27)*12</f>
        <v>362.029567045854</v>
      </c>
      <c r="F34" s="49" t="n">
        <f aca="false">IF(E34=0,0,$B$28/E34)</f>
        <v>1.75400038505577</v>
      </c>
    </row>
    <row r="35" customFormat="false" ht="15" hidden="false" customHeight="false" outlineLevel="0" collapsed="false">
      <c r="A35" s="25"/>
      <c r="B35" s="47" t="n">
        <v>2.75</v>
      </c>
      <c r="C35" s="48" t="n">
        <f aca="false">B35*$B$7</f>
        <v>2653.75</v>
      </c>
      <c r="D35" s="49" t="n">
        <f aca="false">C35/$B$8</f>
        <v>3.25613496932515</v>
      </c>
      <c r="E35" s="48" t="n">
        <f aca="false">-PMT(Inputs!$B$31/12,Inputs!$B$32*12,C35*Inputs!$B$26)*12-PMT(Inputs!$B$33/12,Inputs!$B$34*12,C35*Inputs!$B$27)*12</f>
        <v>398.232523750439</v>
      </c>
      <c r="F35" s="49" t="n">
        <f aca="false">IF(E35=0,0,$B$28/E35)</f>
        <v>1.59454580459615</v>
      </c>
    </row>
    <row r="36" customFormat="false" ht="15" hidden="false" customHeight="false" outlineLevel="0" collapsed="false">
      <c r="A36" s="25"/>
      <c r="B36" s="47" t="n">
        <v>3</v>
      </c>
      <c r="C36" s="48" t="n">
        <f aca="false">B36*$B$7</f>
        <v>2895</v>
      </c>
      <c r="D36" s="49" t="n">
        <f aca="false">C36/$B$8</f>
        <v>3.5521472392638</v>
      </c>
      <c r="E36" s="48" t="n">
        <f aca="false">-PMT(Inputs!$B$31/12,Inputs!$B$32*12,C36*Inputs!$B$26)*12-PMT(Inputs!$B$33/12,Inputs!$B$34*12,C36*Inputs!$B$27)*12</f>
        <v>434.435480455025</v>
      </c>
      <c r="F36" s="49" t="n">
        <f aca="false">IF(E36=0,0,$B$28/E36)</f>
        <v>1.46166698754647</v>
      </c>
    </row>
    <row r="37" customFormat="false" ht="15" hidden="false" customHeight="false" outlineLevel="0" collapsed="false">
      <c r="A37" s="25"/>
      <c r="B37" s="47" t="n">
        <v>3.25</v>
      </c>
      <c r="C37" s="48" t="n">
        <f aca="false">B37*$B$7</f>
        <v>3136.25</v>
      </c>
      <c r="D37" s="49" t="n">
        <f aca="false">C37/$B$8</f>
        <v>3.84815950920245</v>
      </c>
      <c r="E37" s="48" t="n">
        <f aca="false">-PMT(Inputs!$B$31/12,Inputs!$B$32*12,C37*Inputs!$B$26)*12-PMT(Inputs!$B$33/12,Inputs!$B$34*12,C37*Inputs!$B$27)*12</f>
        <v>470.63843715961</v>
      </c>
      <c r="F37" s="49" t="n">
        <f aca="false">IF(E37=0,0,$B$28/E37)</f>
        <v>1.34923106542751</v>
      </c>
    </row>
    <row r="38" customFormat="false" ht="15" hidden="false" customHeight="false" outlineLevel="0" collapsed="false">
      <c r="A38" s="25"/>
      <c r="B38" s="47" t="n">
        <v>3.5</v>
      </c>
      <c r="C38" s="48" t="n">
        <f aca="false">B38*$B$7</f>
        <v>3377.5</v>
      </c>
      <c r="D38" s="49" t="n">
        <f aca="false">C38/$B$8</f>
        <v>4.14417177914111</v>
      </c>
      <c r="E38" s="48" t="n">
        <f aca="false">-PMT(Inputs!$B$31/12,Inputs!$B$32*12,C38*Inputs!$B$26)*12-PMT(Inputs!$B$33/12,Inputs!$B$34*12,C38*Inputs!$B$27)*12</f>
        <v>506.841393864195</v>
      </c>
      <c r="F38" s="49" t="n">
        <f aca="false">IF(E38=0,0,$B$28/E38)</f>
        <v>1.25285741789698</v>
      </c>
    </row>
    <row r="39" customFormat="false" ht="15" hidden="false" customHeight="false" outlineLevel="0" collapsed="false">
      <c r="A39" s="25"/>
      <c r="B39" s="47" t="n">
        <v>3.75</v>
      </c>
      <c r="C39" s="48" t="n">
        <f aca="false">B39*$B$7</f>
        <v>3618.75</v>
      </c>
      <c r="D39" s="49" t="n">
        <f aca="false">C39/$B$8</f>
        <v>4.44018404907976</v>
      </c>
      <c r="E39" s="48" t="n">
        <f aca="false">-PMT(Inputs!$B$31/12,Inputs!$B$32*12,C39*Inputs!$B$26)*12-PMT(Inputs!$B$33/12,Inputs!$B$34*12,C39*Inputs!$B$27)*12</f>
        <v>543.044350568781</v>
      </c>
      <c r="F39" s="49" t="n">
        <f aca="false">IF(E39=0,0,$B$28/E39)</f>
        <v>1.16933359003718</v>
      </c>
    </row>
    <row r="40" customFormat="false" ht="15" hidden="false" customHeight="false" outlineLevel="0" collapsed="false">
      <c r="A40" s="25"/>
      <c r="B40" s="47" t="n">
        <v>4</v>
      </c>
      <c r="C40" s="48" t="n">
        <f aca="false">B40*$B$7</f>
        <v>3860</v>
      </c>
      <c r="D40" s="49" t="n">
        <f aca="false">C40/$B$8</f>
        <v>4.73619631901841</v>
      </c>
      <c r="E40" s="48" t="n">
        <f aca="false">-PMT(Inputs!$B$31/12,Inputs!$B$32*12,C40*Inputs!$B$26)*12-PMT(Inputs!$B$33/12,Inputs!$B$34*12,C40*Inputs!$B$27)*12</f>
        <v>579.247307273366</v>
      </c>
      <c r="F40" s="49" t="n">
        <f aca="false">IF(E40=0,0,$B$28/E40)</f>
        <v>1.09625024065985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15" t="s">
        <v>0</v>
      </c>
    </row>
    <row r="2" customFormat="false" ht="15" hidden="false" customHeight="false" outlineLevel="0" collapsed="false">
      <c r="A2" s="16" t="s">
        <v>158</v>
      </c>
    </row>
    <row r="3" customFormat="false" ht="15" hidden="false" customHeight="false" outlineLevel="0" collapsed="false">
      <c r="A3" s="4" t="s">
        <v>159</v>
      </c>
    </row>
    <row r="5" customFormat="false" ht="15" hidden="false" customHeight="false" outlineLevel="0" collapsed="false">
      <c r="A5" s="17" t="s">
        <v>160</v>
      </c>
      <c r="B5" s="18" t="s">
        <v>161</v>
      </c>
      <c r="C5" s="18" t="s">
        <v>162</v>
      </c>
      <c r="D5" s="18" t="s">
        <v>118</v>
      </c>
      <c r="E5" s="18" t="s">
        <v>72</v>
      </c>
    </row>
    <row r="6" customFormat="false" ht="15" hidden="false" customHeight="false" outlineLevel="0" collapsed="false">
      <c r="A6" s="25" t="s">
        <v>163</v>
      </c>
      <c r="B6" s="50" t="n">
        <f aca="false">Recast!E6</f>
        <v>5365</v>
      </c>
      <c r="C6" s="26" t="n">
        <v>5365</v>
      </c>
      <c r="D6" s="48" t="n">
        <f aca="false">B6-C6</f>
        <v>0</v>
      </c>
      <c r="E6" s="51" t="str">
        <f aca="false">IF(ABS(D6)&lt;=0.5,"OK","CHECK")</f>
        <v>OK</v>
      </c>
    </row>
    <row r="7" customFormat="false" ht="15" hidden="false" customHeight="false" outlineLevel="0" collapsed="false">
      <c r="A7" s="25" t="s">
        <v>164</v>
      </c>
      <c r="B7" s="50" t="n">
        <f aca="false">Recast!E21</f>
        <v>536</v>
      </c>
      <c r="C7" s="26" t="n">
        <v>536</v>
      </c>
      <c r="D7" s="48" t="n">
        <f aca="false">B7-C7</f>
        <v>0</v>
      </c>
      <c r="E7" s="51" t="str">
        <f aca="false">IF(ABS(D7)&lt;=0.5,"OK","CHECK")</f>
        <v>OK</v>
      </c>
    </row>
    <row r="8" customFormat="false" ht="15" hidden="false" customHeight="false" outlineLevel="0" collapsed="false">
      <c r="A8" s="25" t="s">
        <v>165</v>
      </c>
      <c r="B8" s="50" t="n">
        <f aca="false">Recast!E31</f>
        <v>815</v>
      </c>
      <c r="C8" s="26" t="n">
        <v>815</v>
      </c>
      <c r="D8" s="48" t="n">
        <f aca="false">B8-C8</f>
        <v>0</v>
      </c>
      <c r="E8" s="51" t="str">
        <f aca="false">IF(ABS(D8)&lt;=0.5,"OK","CHECK")</f>
        <v>OK</v>
      </c>
    </row>
    <row r="9" customFormat="false" ht="15" hidden="false" customHeight="false" outlineLevel="0" collapsed="false">
      <c r="A9" s="25" t="s">
        <v>166</v>
      </c>
      <c r="B9" s="50" t="n">
        <f aca="false">Recast!E34</f>
        <v>965</v>
      </c>
      <c r="C9" s="26" t="n">
        <v>965</v>
      </c>
      <c r="D9" s="48" t="n">
        <f aca="false">B9-C9</f>
        <v>0</v>
      </c>
      <c r="E9" s="51" t="str">
        <f aca="false">IF(ABS(D9)&lt;=0.5,"OK","CHECK")</f>
        <v>OK</v>
      </c>
    </row>
    <row r="10" customFormat="false" ht="15" hidden="false" customHeight="false" outlineLevel="0" collapsed="false">
      <c r="A10" s="25" t="s">
        <v>167</v>
      </c>
      <c r="B10" s="52" t="n">
        <f aca="false">Recast!B42</f>
        <v>0.104289060787353</v>
      </c>
      <c r="C10" s="53" t="n">
        <v>0.104289060787353</v>
      </c>
      <c r="D10" s="54" t="n">
        <f aca="false">B10-C10</f>
        <v>0</v>
      </c>
      <c r="E10" s="51" t="str">
        <f aca="false">IF(ABS(D10)&lt;=0.0005,"OK","CHECK")</f>
        <v>OK</v>
      </c>
    </row>
    <row r="11" customFormat="false" ht="15" hidden="false" customHeight="false" outlineLevel="0" collapsed="false">
      <c r="A11" s="25" t="s">
        <v>168</v>
      </c>
      <c r="B11" s="55" t="n">
        <f aca="false">Valuation!B11</f>
        <v>3.36787564766839</v>
      </c>
      <c r="C11" s="47" t="n">
        <v>3.36787564766839</v>
      </c>
      <c r="D11" s="49" t="n">
        <f aca="false">B11-C11</f>
        <v>0</v>
      </c>
      <c r="E11" s="51" t="str">
        <f aca="false">IF(ABS(D11)&lt;=0.005,"OK","CHECK")</f>
        <v>OK</v>
      </c>
    </row>
    <row r="12" customFormat="false" ht="15" hidden="false" customHeight="false" outlineLevel="0" collapsed="false">
      <c r="A12" s="25" t="s">
        <v>169</v>
      </c>
      <c r="B12" s="50" t="n">
        <f aca="false">Recast!B31-Recast!B21-'Add-backs'!B11+Recast!C31-Recast!C21-'Add-backs'!C11+Recast!D31-Recast!D21-'Add-backs'!D11+Recast!E31-Recast!E21-'Add-backs'!E11</f>
        <v>0</v>
      </c>
      <c r="C12" s="48" t="n">
        <v>0</v>
      </c>
      <c r="D12" s="48" t="n">
        <f aca="false">B12-C12</f>
        <v>0</v>
      </c>
      <c r="E12" s="51" t="str">
        <f aca="false">IF(ABS(D12)&lt;=0.5,"OK","CHECK")</f>
        <v>OK</v>
      </c>
    </row>
    <row r="13" customFormat="false" ht="15" hidden="false" customHeight="false" outlineLevel="0" collapsed="false">
      <c r="A13" s="25" t="s">
        <v>170</v>
      </c>
      <c r="B13" s="56" t="n">
        <f aca="false">'Add-backs'!B13</f>
        <v>0</v>
      </c>
      <c r="C13" s="57" t="n">
        <v>0</v>
      </c>
      <c r="D13" s="58" t="n">
        <f aca="false">B13-C13</f>
        <v>0</v>
      </c>
      <c r="E13" s="51" t="str">
        <f aca="false">IF(ABS(D13)&lt;=0,"OK","CHECK")</f>
        <v>OK</v>
      </c>
    </row>
    <row r="14" customFormat="false" ht="15" hidden="false" customHeight="false" outlineLevel="0" collapsed="false">
      <c r="A14" s="25" t="s">
        <v>171</v>
      </c>
      <c r="B14" s="50" t="n">
        <f aca="false">Recast!B40-Recast!B21+Inputs!B19+Inputs!B20+Recast!C40-Recast!C21+Inputs!C19+Inputs!C20+Recast!D40-Recast!D21+Inputs!D19+Inputs!D20+Recast!E40-Recast!E21+Inputs!E19+Inputs!E20</f>
        <v>0</v>
      </c>
      <c r="C14" s="48" t="n">
        <v>0</v>
      </c>
      <c r="D14" s="48" t="n">
        <f aca="false">B14-C14</f>
        <v>0</v>
      </c>
      <c r="E14" s="51" t="str">
        <f aca="false">IF(ABS(D14)&lt;=0.5,"OK","CHECK")</f>
        <v>OK</v>
      </c>
    </row>
    <row r="15" customFormat="false" ht="15" hidden="false" customHeight="false" outlineLevel="0" collapsed="false">
      <c r="A15" s="25" t="s">
        <v>172</v>
      </c>
      <c r="B15" s="50" t="n">
        <f aca="false">ABS('Tax returns'!B8)+ABS('Tax returns'!C8)+ABS('Tax returns'!D8)</f>
        <v>0</v>
      </c>
      <c r="C15" s="48" t="n">
        <v>0</v>
      </c>
      <c r="D15" s="48" t="n">
        <f aca="false">B15-C15</f>
        <v>0</v>
      </c>
      <c r="E15" s="51" t="str">
        <f aca="false">IF(ABS(D15)&lt;=0.5,"OK","CHECK")</f>
        <v>OK</v>
      </c>
    </row>
    <row r="16" customFormat="false" ht="15" hidden="false" customHeight="false" outlineLevel="0" collapsed="false">
      <c r="A16" s="25" t="s">
        <v>173</v>
      </c>
      <c r="B16" s="50" t="n">
        <f aca="false">ABS('Tax returns'!B12)+ABS('Tax returns'!C12)+ABS('Tax returns'!D12)</f>
        <v>0</v>
      </c>
      <c r="C16" s="48" t="n">
        <v>0</v>
      </c>
      <c r="D16" s="48" t="n">
        <f aca="false">B16-C16</f>
        <v>0</v>
      </c>
      <c r="E16" s="51" t="str">
        <f aca="false">IF(ABS(D16)&lt;=0.5,"OK","CHECK")</f>
        <v>OK</v>
      </c>
    </row>
    <row r="17" customFormat="false" ht="15" hidden="false" customHeight="false" outlineLevel="0" collapsed="false">
      <c r="A17" s="25" t="s">
        <v>174</v>
      </c>
      <c r="B17" s="52" t="n">
        <f aca="false">Inputs!B26+Inputs!B27+Inputs!B28</f>
        <v>1</v>
      </c>
      <c r="C17" s="53" t="n">
        <v>1</v>
      </c>
      <c r="D17" s="54" t="n">
        <f aca="false">B17-C17</f>
        <v>0</v>
      </c>
      <c r="E17" s="51" t="str">
        <f aca="false">IF(ABS(D17)&lt;=0.0001,"OK","CHECK")</f>
        <v>OK</v>
      </c>
    </row>
    <row r="18" customFormat="false" ht="15" hidden="false" customHeight="false" outlineLevel="0" collapsed="false">
      <c r="A18" s="25" t="s">
        <v>175</v>
      </c>
      <c r="B18" s="50" t="n">
        <f aca="false">Valuation!B20</f>
        <v>3250</v>
      </c>
      <c r="C18" s="50" t="n">
        <f aca="false">Inputs!B25</f>
        <v>3250</v>
      </c>
      <c r="D18" s="48" t="n">
        <f aca="false">B18-C18</f>
        <v>0</v>
      </c>
      <c r="E18" s="51" t="str">
        <f aca="false">IF(ABS(D18)&lt;=0.5,"OK","CHECK")</f>
        <v>OK</v>
      </c>
    </row>
    <row r="20" customFormat="false" ht="15" hidden="false" customHeight="false" outlineLevel="0" collapsed="false">
      <c r="A20" s="36" t="s">
        <v>176</v>
      </c>
      <c r="B20" s="36"/>
      <c r="C20" s="36"/>
      <c r="D20" s="36"/>
      <c r="E20" s="59" t="str">
        <f aca="false">IF(COUNTIF(E6:E18,"CHECK")=0,"ALL OK","REVIEW")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2026-09-28T03:09:27Z</dcterms:created>
  <dc:creator>Alder &amp; Finch Business Advisors</dc:creator>
  <dc:language>en-US</dc:language>
  <cp:lastModifiedBy>Alder &amp; Finch Business Advisors</cp:lastModifiedBy>
  <dcterms:modified xsi:type="dcterms:W3CDTF">2026-09-28T03:09:27Z</dcterms:modified>
  <cp:revision>0</cp:revision>
  <dc:title>Project Keystone | Recast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